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129"/>
  <workbookPr codeName="ThisWorkbook"/>
  <mc:AlternateContent xmlns:mc="http://schemas.openxmlformats.org/markup-compatibility/2006">
    <mc:Choice Requires="x15">
      <x15ac:absPath xmlns:x15ac="http://schemas.microsoft.com/office/spreadsheetml/2010/11/ac" url="C:\Users\kbast\Dropbox\chief recorder material\2023-2025\"/>
    </mc:Choice>
  </mc:AlternateContent>
  <xr:revisionPtr revIDLastSave="0" documentId="13_ncr:1_{E297818F-1EF7-4BC7-A731-00577F77AAED}" xr6:coauthVersionLast="47" xr6:coauthVersionMax="47" xr10:uidLastSave="{00000000-0000-0000-0000-000000000000}"/>
  <workbookProtection workbookAlgorithmName="SHA-512" workbookHashValue="/DW4p4tRFW/Cn2tvgnfOCSEIbgnqnsZkufIVBE0RN5ACvHk96ggo7NsHM+9AxBwR6XrmDGeTEv3PM0ZuGiHP4Q==" workbookSaltValue="jkoOC65yWH6KRsHyrKPjUA==" workbookSpinCount="100000" lockStructure="1"/>
  <bookViews>
    <workbookView xWindow="-108" yWindow="-108" windowWidth="23256" windowHeight="12456" tabRatio="604" activeTab="1" xr2:uid="{00000000-000D-0000-FFFF-FFFF00000000}"/>
  </bookViews>
  <sheets>
    <sheet name="Instructions" sheetId="4" r:id="rId1"/>
    <sheet name="Coach Card" sheetId="2" r:id="rId2"/>
    <sheet name="Print" sheetId="3" r:id="rId3"/>
    <sheet name="Data" sheetId="1" state="hidden" r:id="rId4"/>
    <sheet name="AcroDD" sheetId="5" state="hidden" r:id="rId5"/>
    <sheet name="HybridDD" sheetId="6" state="hidden" r:id="rId6"/>
    <sheet name="TREDD" sheetId="7" state="hidden" r:id="rId7"/>
  </sheets>
  <definedNames>
    <definedName name="AcroBonus_A_Code">AcroDD!$B$299:$B$328</definedName>
    <definedName name="AcroBonus_A_Value">AcroDD!$C$299:$C$328</definedName>
    <definedName name="AcroBonus_B_Code">AcroDD!$E$299:$E$328</definedName>
    <definedName name="AcroBonus_B_Value">AcroDD!$F$299:$F$328</definedName>
    <definedName name="AcroBonus_C_Code">AcroDD!$H$299:$H$328</definedName>
    <definedName name="AcroBonus_C_Value">AcroDD!$I$299:$I$328</definedName>
    <definedName name="AcroBonus_P_Code">AcroDD!$K$299:$K$328</definedName>
    <definedName name="AcroBonus_P_Value">AcroDD!$L$299:$L$328</definedName>
    <definedName name="AcroPair_Code">AcroDD!$Q$4:$Q$78</definedName>
    <definedName name="AcroPair_Value">AcroDD!$R$4:$R$78</definedName>
    <definedName name="_xlnm.Print_Area" localSheetId="1">'Coach Card'!$A$1:$AE$68</definedName>
    <definedName name="_xlnm.Print_Area" localSheetId="2">Print!$A$1:$O$46</definedName>
    <definedName name="Cons_A_Code">AcroDD!$B$4:$B$31</definedName>
    <definedName name="Cons_A_Value">AcroDD!$C$4:$C$31</definedName>
    <definedName name="Cons_B_Code">AcroDD!$E$4:$E$31</definedName>
    <definedName name="Cons_B_Value">AcroDD!$F$4:$F$31</definedName>
    <definedName name="Cons_C_Code">AcroDD!$H$4:$H$31</definedName>
    <definedName name="Cons_C_Value">AcroDD!$I$4:$I$31</definedName>
    <definedName name="Cons_P_Code">AcroDD!$K$4:$K$31</definedName>
    <definedName name="Cons_P_Value">AcroDD!$L$4:$L$31</definedName>
    <definedName name="Conx_A_Code">AcroDD!$B$38:$B$70</definedName>
    <definedName name="Conx_A_Value">AcroDD!$C$38:$C$70</definedName>
    <definedName name="Conx_B_Code">AcroDD!$E$38:$E$70</definedName>
    <definedName name="Conx_B_Value">AcroDD!$F$38:$F$70</definedName>
    <definedName name="Conx_C_Code">AcroDD!$H$38:$H$70</definedName>
    <definedName name="Conx_C_Value">AcroDD!$I$38:$I$70</definedName>
    <definedName name="Conx_P_Code">AcroDD!$K$38:$K$70</definedName>
    <definedName name="Conx_P_Value">AcroDD!$L$38:$L$70</definedName>
    <definedName name="Dirx_A_Code">AcroDD!$B$77:$B$94</definedName>
    <definedName name="Dirx_A_Value">AcroDD!$C$77:$C$94</definedName>
    <definedName name="Dirx_B_Code">AcroDD!$E$77:$E$94</definedName>
    <definedName name="Dirx_B_Value">AcroDD!$F$77:$F$94</definedName>
    <definedName name="Dirx_C_Code">AcroDD!$H$77:$H$94</definedName>
    <definedName name="Dirx_C_Value">AcroDD!$I$77:$I$94</definedName>
    <definedName name="Dirx_P_Code">AcroDD!$K$77:$K$94</definedName>
    <definedName name="Dirx_P_Value">AcroDD!$L$77:$L$94</definedName>
    <definedName name="Hybrid_Mix_Req">HybridDD!$F$3:$F$80</definedName>
    <definedName name="HybridBonus_Code">HybridDD!$D$3:$D$30</definedName>
    <definedName name="HybridBonus_Value">HybridDD!$E$3:$E$30</definedName>
    <definedName name="HybridDD_Code">HybridDD!$B$3:$B$500</definedName>
    <definedName name="HybridDD_Value">HybridDD!$C$3:$C$500</definedName>
    <definedName name="Parts_Active">Data!$E$3:$E$11</definedName>
    <definedName name="Pos1_A_Code">AcroDD!$C$101:$C$140</definedName>
    <definedName name="Pos1_A_Value">AcroDD!$D$101:$D$140</definedName>
    <definedName name="Pos1_A_Var">AcroDD!$B$101:$B$140</definedName>
    <definedName name="Pos1_B_Code">AcroDD!$G$101:$G$140</definedName>
    <definedName name="Pos1_B_Value">AcroDD!$H$101:$H$140</definedName>
    <definedName name="Pos1_B_Var">AcroDD!$F$101:$F$140</definedName>
    <definedName name="Pos1_C_Code">AcroDD!$K$101:$K$140</definedName>
    <definedName name="Pos1_C_Value">AcroDD!$L$101:$L$140</definedName>
    <definedName name="Pos1_C_Var">AcroDD!$J$101:$J$140</definedName>
    <definedName name="Pos1_P_Code">AcroDD!$O$101:$O$140</definedName>
    <definedName name="Pos1_P_Value">AcroDD!$P$101:$P$140</definedName>
    <definedName name="Pos1_P_Var">AcroDD!$N$101:$N$140</definedName>
    <definedName name="Pos2_A_Code">AcroDD!$C$147:$C$186</definedName>
    <definedName name="Pos2_A_Value">AcroDD!$D$147:$D$186</definedName>
    <definedName name="Pos2_A_Var">AcroDD!$B$147:$B$186</definedName>
    <definedName name="Pos2_B_Code">AcroDD!$G$147:$G$186</definedName>
    <definedName name="Pos2_B_Value">AcroDD!$H$147:$H$186</definedName>
    <definedName name="Pos2_B_Var">AcroDD!$F$147:$F$186</definedName>
    <definedName name="Pos2_C_Code">AcroDD!$K$147:$K$186</definedName>
    <definedName name="Pos2_C_Value">AcroDD!$L$147:$L$186</definedName>
    <definedName name="Pos2_C_Var">AcroDD!$J$147:$J$186</definedName>
    <definedName name="Pos2_P_Code">AcroDD!$O$147:$O$186</definedName>
    <definedName name="Pos2_P_Value">AcroDD!$P$147:$P$186</definedName>
    <definedName name="Pos2_P_Var">AcroDD!$N$147:$N$186</definedName>
    <definedName name="Requ_App">AcroDD!$C$334:$C$373</definedName>
    <definedName name="Requ_Code">AcroDD!$B$334:$B$373</definedName>
    <definedName name="Requ_Min">AcroDD!$D$334:$D$373</definedName>
    <definedName name="RotB_A_Code">AcroDD!$B$194:$B$216</definedName>
    <definedName name="RotB_A_Value">AcroDD!$C$194:$C$216</definedName>
    <definedName name="RotB_B_Code">AcroDD!$E$194:$E$216</definedName>
    <definedName name="RotB_B_Value">AcroDD!$F$194:$F$216</definedName>
    <definedName name="RotB_C_Code">AcroDD!$H$194:$H$216</definedName>
    <definedName name="RotB_C_Value">AcroDD!$I$194:$I$216</definedName>
    <definedName name="RotB_P_Code">AcroDD!$K$194:$K$216</definedName>
    <definedName name="RotB_P_Value">AcroDD!$L$194:$L$216</definedName>
    <definedName name="RotP_A_Code">AcroDD!$B$223:$B$292</definedName>
    <definedName name="RotP_A_Value">AcroDD!$C$223:$C$292</definedName>
    <definedName name="RotP_B_Code">AcroDD!$E$223:$E$292</definedName>
    <definedName name="RotP_B_Value">AcroDD!$F$223:$F$292</definedName>
    <definedName name="RotP_C_Code">AcroDD!$H$223:$H$292</definedName>
    <definedName name="RotP_C_Value">AcroDD!$I$223:$I$292</definedName>
    <definedName name="RotP_P_Code">AcroDD!$K$223:$K$292</definedName>
    <definedName name="RotP_P_Value">AcroDD!$L$223:$L$292</definedName>
    <definedName name="TeamAcro_A_Pos1">'Coach Card'!$CT$19:$CT$68</definedName>
    <definedName name="TeamAcro_A_Pos2">'Coach Card'!$CU$19:$CU$68</definedName>
    <definedName name="TeamAcro_B_Cons">'Coach Card'!$CV$19:$CV$68</definedName>
    <definedName name="TeamAcro_B_Conx">'Coach Card'!$CW$19:$CW$68</definedName>
    <definedName name="TeamAcro_C_Cons">'Coach Card'!$CX$19:$CX$68</definedName>
    <definedName name="TeamAcro_P_Cons">'Coach Card'!$CY$19:$CY$68</definedName>
    <definedName name="TeamAcro_P_Conx">'Coach Card'!$CZ$19:$CZ$68</definedName>
    <definedName name="TeamAcro_P_Pos1">'Coach Card'!$DA$19:$DA$68</definedName>
    <definedName name="TeamAcro_P_Pos2">'Coach Card'!$DB$19:$DB$68</definedName>
    <definedName name="TRE_check">'Coach Card'!$FN$19:$FN$68</definedName>
    <definedName name="TreDD_Code">TREDD!$B$3:$B$12</definedName>
    <definedName name="TreDD_Value">TREDD!$C$3:$C$12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I22" i="2" l="1"/>
  <c r="FI21" i="2" s="1"/>
  <c r="FI24" i="2"/>
  <c r="FI23" i="2" s="1"/>
  <c r="FI26" i="2"/>
  <c r="FI25" i="2" s="1"/>
  <c r="FI28" i="2"/>
  <c r="FI27" i="2" s="1"/>
  <c r="FI30" i="2"/>
  <c r="FI29" i="2" s="1"/>
  <c r="FI32" i="2"/>
  <c r="FI31" i="2" s="1"/>
  <c r="FI34" i="2"/>
  <c r="FI33" i="2" s="1"/>
  <c r="FI36" i="2"/>
  <c r="FI35" i="2" s="1"/>
  <c r="FI38" i="2"/>
  <c r="FI37" i="2" s="1"/>
  <c r="FI40" i="2"/>
  <c r="FI39" i="2" s="1"/>
  <c r="FI42" i="2"/>
  <c r="FI41" i="2" s="1"/>
  <c r="FI44" i="2"/>
  <c r="FI43" i="2" s="1"/>
  <c r="FI46" i="2"/>
  <c r="FI45" i="2" s="1"/>
  <c r="FI48" i="2"/>
  <c r="FI47" i="2" s="1"/>
  <c r="FI50" i="2"/>
  <c r="FI49" i="2" s="1"/>
  <c r="FI52" i="2"/>
  <c r="FI51" i="2" s="1"/>
  <c r="FI54" i="2"/>
  <c r="FI53" i="2" s="1"/>
  <c r="FI56" i="2"/>
  <c r="FI55" i="2" s="1"/>
  <c r="FI58" i="2"/>
  <c r="FI57" i="2" s="1"/>
  <c r="FI60" i="2"/>
  <c r="FI59" i="2" s="1"/>
  <c r="FI62" i="2"/>
  <c r="FI61" i="2" s="1"/>
  <c r="FI64" i="2"/>
  <c r="FI63" i="2" s="1"/>
  <c r="FI66" i="2"/>
  <c r="FI65" i="2" s="1"/>
  <c r="FI68" i="2"/>
  <c r="FI67" i="2" s="1"/>
  <c r="FI20" i="2"/>
  <c r="FI19" i="2" s="1"/>
  <c r="F40" i="3"/>
  <c r="F39" i="3"/>
  <c r="F38" i="3"/>
  <c r="F37" i="3"/>
  <c r="F36" i="3"/>
  <c r="F35" i="3"/>
  <c r="F34" i="3"/>
  <c r="F33" i="3"/>
  <c r="F32" i="3"/>
  <c r="F31" i="3"/>
  <c r="F30" i="3"/>
  <c r="F29" i="3"/>
  <c r="F28" i="3"/>
  <c r="F27" i="3"/>
  <c r="F26" i="3"/>
  <c r="F25" i="3"/>
  <c r="F24" i="3"/>
  <c r="F23" i="3"/>
  <c r="F22" i="3"/>
  <c r="F21" i="3"/>
  <c r="F20" i="3"/>
  <c r="F19" i="3"/>
  <c r="F18" i="3"/>
  <c r="F17" i="3"/>
  <c r="F16" i="3"/>
  <c r="AE48" i="2"/>
  <c r="AE50" i="2"/>
  <c r="AE52" i="2"/>
  <c r="AE54" i="2"/>
  <c r="AE56" i="2"/>
  <c r="AE58" i="2"/>
  <c r="AE60" i="2"/>
  <c r="AE62" i="2"/>
  <c r="AE64" i="2"/>
  <c r="AE66" i="2"/>
  <c r="AE68" i="2"/>
  <c r="DF33" i="2" l="1"/>
  <c r="DG33" i="2" s="1"/>
  <c r="DF37" i="2"/>
  <c r="DG37" i="2" s="1"/>
  <c r="DF41" i="2"/>
  <c r="DG41" i="2" s="1"/>
  <c r="DF45" i="2"/>
  <c r="DG45" i="2" s="1"/>
  <c r="DF47" i="2"/>
  <c r="DG47" i="2" s="1"/>
  <c r="DF49" i="2"/>
  <c r="DG49" i="2" s="1"/>
  <c r="DF51" i="2"/>
  <c r="DG51" i="2" s="1"/>
  <c r="DF53" i="2"/>
  <c r="DG53" i="2" s="1"/>
  <c r="DF55" i="2"/>
  <c r="DG55" i="2" s="1"/>
  <c r="DF57" i="2"/>
  <c r="DG57" i="2" s="1"/>
  <c r="DF59" i="2"/>
  <c r="DG59" i="2" s="1"/>
  <c r="DF61" i="2"/>
  <c r="DG61" i="2" s="1"/>
  <c r="DF63" i="2"/>
  <c r="DG63" i="2" s="1"/>
  <c r="DF65" i="2"/>
  <c r="DG65" i="2" s="1"/>
  <c r="DF67" i="2"/>
  <c r="DG67" i="2" s="1"/>
  <c r="B17" i="3"/>
  <c r="B18" i="3"/>
  <c r="B19" i="3"/>
  <c r="B20" i="3"/>
  <c r="B21" i="3"/>
  <c r="B22" i="3"/>
  <c r="B23" i="3"/>
  <c r="B24" i="3"/>
  <c r="B25" i="3"/>
  <c r="B26" i="3"/>
  <c r="B27" i="3"/>
  <c r="B28" i="3"/>
  <c r="B29" i="3"/>
  <c r="B30" i="3"/>
  <c r="B31" i="3"/>
  <c r="B32" i="3"/>
  <c r="B33" i="3"/>
  <c r="B34" i="3"/>
  <c r="B35" i="3"/>
  <c r="B36" i="3"/>
  <c r="B37" i="3"/>
  <c r="B38" i="3"/>
  <c r="B39" i="3"/>
  <c r="B40" i="3"/>
  <c r="B16" i="3"/>
  <c r="AT49" i="2"/>
  <c r="AT51" i="2"/>
  <c r="AT53" i="2"/>
  <c r="AT55" i="2"/>
  <c r="AT57" i="2"/>
  <c r="AT59" i="2"/>
  <c r="AT61" i="2"/>
  <c r="AT63" i="2"/>
  <c r="AT65" i="2"/>
  <c r="AT67" i="2"/>
  <c r="M40" i="3" l="1"/>
  <c r="M36" i="3"/>
  <c r="M32" i="3"/>
  <c r="M28" i="3"/>
  <c r="M24" i="3"/>
  <c r="M39" i="3"/>
  <c r="M35" i="3"/>
  <c r="M31" i="3"/>
  <c r="M27" i="3"/>
  <c r="M23" i="3"/>
  <c r="M19" i="3"/>
  <c r="M20" i="3"/>
  <c r="M38" i="3"/>
  <c r="M34" i="3"/>
  <c r="M30" i="3"/>
  <c r="M26" i="3"/>
  <c r="M22" i="3"/>
  <c r="M18" i="3"/>
  <c r="M37" i="3"/>
  <c r="M33" i="3"/>
  <c r="M29" i="3"/>
  <c r="M25" i="3"/>
  <c r="M21" i="3"/>
  <c r="M17" i="3"/>
  <c r="H69" i="2"/>
  <c r="M16" i="3"/>
  <c r="N30" i="3"/>
  <c r="N31" i="3"/>
  <c r="N32" i="3"/>
  <c r="N33" i="3"/>
  <c r="N34" i="3"/>
  <c r="N35" i="3"/>
  <c r="N36" i="3"/>
  <c r="N37" i="3"/>
  <c r="N38" i="3"/>
  <c r="N39" i="3"/>
  <c r="N40" i="3"/>
  <c r="P14" i="2" a="1"/>
  <c r="P14" i="2" l="1"/>
  <c r="N173" i="5"/>
  <c r="O173" i="5"/>
  <c r="P173" i="5"/>
  <c r="N174" i="5"/>
  <c r="O174" i="5"/>
  <c r="P174" i="5"/>
  <c r="N175" i="5"/>
  <c r="O175" i="5"/>
  <c r="P175" i="5"/>
  <c r="N176" i="5"/>
  <c r="O176" i="5"/>
  <c r="P176" i="5"/>
  <c r="N177" i="5"/>
  <c r="O177" i="5"/>
  <c r="P177" i="5"/>
  <c r="N178" i="5"/>
  <c r="O178" i="5"/>
  <c r="P178" i="5"/>
  <c r="N179" i="5"/>
  <c r="O179" i="5"/>
  <c r="P179" i="5"/>
  <c r="N180" i="5"/>
  <c r="O180" i="5"/>
  <c r="P180" i="5"/>
  <c r="N181" i="5"/>
  <c r="O181" i="5"/>
  <c r="P181" i="5"/>
  <c r="N182" i="5"/>
  <c r="O182" i="5"/>
  <c r="P182" i="5"/>
  <c r="N183" i="5"/>
  <c r="O183" i="5"/>
  <c r="P183" i="5"/>
  <c r="N184" i="5"/>
  <c r="O184" i="5"/>
  <c r="P184" i="5"/>
  <c r="N185" i="5"/>
  <c r="O185" i="5"/>
  <c r="P185" i="5"/>
  <c r="N186" i="5"/>
  <c r="O186" i="5"/>
  <c r="P186" i="5"/>
  <c r="P128" i="5"/>
  <c r="P129" i="5"/>
  <c r="P130" i="5"/>
  <c r="P131" i="5"/>
  <c r="P132" i="5"/>
  <c r="P133" i="5"/>
  <c r="P134" i="5"/>
  <c r="P135" i="5"/>
  <c r="P136" i="5"/>
  <c r="P137" i="5"/>
  <c r="P138" i="5"/>
  <c r="P139" i="5"/>
  <c r="P140" i="5"/>
  <c r="O128" i="5"/>
  <c r="O129" i="5"/>
  <c r="O130" i="5"/>
  <c r="O131" i="5"/>
  <c r="O132" i="5"/>
  <c r="O133" i="5"/>
  <c r="O134" i="5"/>
  <c r="O135" i="5"/>
  <c r="O136" i="5"/>
  <c r="O137" i="5"/>
  <c r="O138" i="5"/>
  <c r="O139" i="5"/>
  <c r="O140" i="5"/>
  <c r="N128" i="5"/>
  <c r="N129" i="5"/>
  <c r="N130" i="5"/>
  <c r="N131" i="5"/>
  <c r="N132" i="5"/>
  <c r="N133" i="5"/>
  <c r="N134" i="5"/>
  <c r="N135" i="5"/>
  <c r="N136" i="5"/>
  <c r="N137" i="5"/>
  <c r="N138" i="5"/>
  <c r="N139" i="5"/>
  <c r="N140" i="5"/>
  <c r="CO69" i="2" l="1"/>
  <c r="V320" i="6" l="1"/>
  <c r="W320" i="6"/>
  <c r="V321" i="6"/>
  <c r="W321" i="6"/>
  <c r="V322" i="6"/>
  <c r="W322" i="6"/>
  <c r="V323" i="6"/>
  <c r="W323" i="6"/>
  <c r="V324" i="6"/>
  <c r="W324" i="6"/>
  <c r="V325" i="6"/>
  <c r="W325" i="6"/>
  <c r="V326" i="6"/>
  <c r="W326" i="6"/>
  <c r="V327" i="6"/>
  <c r="W327" i="6"/>
  <c r="V328" i="6"/>
  <c r="W328" i="6"/>
  <c r="V329" i="6"/>
  <c r="W329" i="6"/>
  <c r="V330" i="6"/>
  <c r="W330" i="6"/>
  <c r="V331" i="6"/>
  <c r="W331" i="6"/>
  <c r="V332" i="6"/>
  <c r="W332" i="6"/>
  <c r="V333" i="6"/>
  <c r="W333" i="6"/>
  <c r="V334" i="6"/>
  <c r="W334" i="6"/>
  <c r="V335" i="6"/>
  <c r="W335" i="6"/>
  <c r="V336" i="6"/>
  <c r="W336" i="6"/>
  <c r="V337" i="6"/>
  <c r="W337" i="6"/>
  <c r="V338" i="6"/>
  <c r="W338" i="6"/>
  <c r="V339" i="6"/>
  <c r="W339" i="6"/>
  <c r="V340" i="6"/>
  <c r="W340" i="6"/>
  <c r="V341" i="6"/>
  <c r="W341" i="6"/>
  <c r="V342" i="6"/>
  <c r="W342" i="6"/>
  <c r="V343" i="6"/>
  <c r="W343" i="6"/>
  <c r="V344" i="6"/>
  <c r="W344" i="6"/>
  <c r="V345" i="6"/>
  <c r="W345" i="6"/>
  <c r="V346" i="6"/>
  <c r="W346" i="6"/>
  <c r="V347" i="6"/>
  <c r="W347" i="6"/>
  <c r="V348" i="6"/>
  <c r="W348" i="6"/>
  <c r="V349" i="6"/>
  <c r="W349" i="6"/>
  <c r="V350" i="6"/>
  <c r="W350" i="6"/>
  <c r="V351" i="6"/>
  <c r="W351" i="6"/>
  <c r="V352" i="6"/>
  <c r="W352" i="6"/>
  <c r="V353" i="6"/>
  <c r="W353" i="6"/>
  <c r="V354" i="6"/>
  <c r="W354" i="6"/>
  <c r="V355" i="6"/>
  <c r="W355" i="6"/>
  <c r="V356" i="6"/>
  <c r="W356" i="6"/>
  <c r="V357" i="6"/>
  <c r="W357" i="6"/>
  <c r="V358" i="6"/>
  <c r="W358" i="6"/>
  <c r="V359" i="6"/>
  <c r="W359" i="6"/>
  <c r="V360" i="6"/>
  <c r="W360" i="6"/>
  <c r="V361" i="6"/>
  <c r="W361" i="6"/>
  <c r="V362" i="6"/>
  <c r="W362" i="6"/>
  <c r="V363" i="6"/>
  <c r="W363" i="6"/>
  <c r="V364" i="6"/>
  <c r="W364" i="6"/>
  <c r="V365" i="6"/>
  <c r="W365" i="6"/>
  <c r="V366" i="6"/>
  <c r="W366" i="6"/>
  <c r="V367" i="6"/>
  <c r="W367" i="6"/>
  <c r="V368" i="6"/>
  <c r="W368" i="6"/>
  <c r="V369" i="6"/>
  <c r="W369" i="6"/>
  <c r="V370" i="6"/>
  <c r="W370" i="6"/>
  <c r="V371" i="6"/>
  <c r="W371" i="6"/>
  <c r="V372" i="6"/>
  <c r="W372" i="6"/>
  <c r="V373" i="6"/>
  <c r="W373" i="6"/>
  <c r="V374" i="6"/>
  <c r="W374" i="6"/>
  <c r="V375" i="6"/>
  <c r="W375" i="6"/>
  <c r="V376" i="6"/>
  <c r="W376" i="6"/>
  <c r="V377" i="6"/>
  <c r="W377" i="6"/>
  <c r="V378" i="6"/>
  <c r="W378" i="6"/>
  <c r="V379" i="6"/>
  <c r="W379" i="6"/>
  <c r="V380" i="6"/>
  <c r="W380" i="6"/>
  <c r="V381" i="6"/>
  <c r="W381" i="6"/>
  <c r="V382" i="6"/>
  <c r="W382" i="6"/>
  <c r="V383" i="6"/>
  <c r="W383" i="6"/>
  <c r="V384" i="6"/>
  <c r="W384" i="6"/>
  <c r="V385" i="6"/>
  <c r="W385" i="6"/>
  <c r="V386" i="6"/>
  <c r="W386" i="6"/>
  <c r="V387" i="6"/>
  <c r="W387" i="6"/>
  <c r="V388" i="6"/>
  <c r="W388" i="6"/>
  <c r="V389" i="6"/>
  <c r="W389" i="6"/>
  <c r="V390" i="6"/>
  <c r="W390" i="6"/>
  <c r="V391" i="6"/>
  <c r="W391" i="6"/>
  <c r="V392" i="6"/>
  <c r="W392" i="6"/>
  <c r="V393" i="6"/>
  <c r="W393" i="6"/>
  <c r="V394" i="6"/>
  <c r="W394" i="6"/>
  <c r="V395" i="6"/>
  <c r="W395" i="6"/>
  <c r="V396" i="6"/>
  <c r="W396" i="6"/>
  <c r="V397" i="6"/>
  <c r="W397" i="6"/>
  <c r="V398" i="6"/>
  <c r="W398" i="6"/>
  <c r="V399" i="6"/>
  <c r="W399" i="6"/>
  <c r="V400" i="6"/>
  <c r="W400" i="6"/>
  <c r="V401" i="6"/>
  <c r="W401" i="6"/>
  <c r="V402" i="6"/>
  <c r="W402" i="6"/>
  <c r="V403" i="6"/>
  <c r="W403" i="6"/>
  <c r="V404" i="6"/>
  <c r="W404" i="6"/>
  <c r="V405" i="6"/>
  <c r="W405" i="6"/>
  <c r="V406" i="6"/>
  <c r="W406" i="6"/>
  <c r="V407" i="6"/>
  <c r="W407" i="6"/>
  <c r="V408" i="6"/>
  <c r="W408" i="6"/>
  <c r="V409" i="6"/>
  <c r="W409" i="6"/>
  <c r="V410" i="6"/>
  <c r="W410" i="6"/>
  <c r="V411" i="6"/>
  <c r="W411" i="6"/>
  <c r="V412" i="6"/>
  <c r="W412" i="6"/>
  <c r="V413" i="6"/>
  <c r="W413" i="6"/>
  <c r="V414" i="6"/>
  <c r="W414" i="6"/>
  <c r="V415" i="6"/>
  <c r="W415" i="6"/>
  <c r="V416" i="6"/>
  <c r="W416" i="6"/>
  <c r="V417" i="6"/>
  <c r="W417" i="6"/>
  <c r="V418" i="6"/>
  <c r="W418" i="6"/>
  <c r="V419" i="6"/>
  <c r="W419" i="6"/>
  <c r="V420" i="6"/>
  <c r="W420" i="6"/>
  <c r="V421" i="6"/>
  <c r="W421" i="6"/>
  <c r="V422" i="6"/>
  <c r="W422" i="6"/>
  <c r="V423" i="6"/>
  <c r="W423" i="6"/>
  <c r="V424" i="6"/>
  <c r="W424" i="6"/>
  <c r="V425" i="6"/>
  <c r="W425" i="6"/>
  <c r="V426" i="6"/>
  <c r="W426" i="6"/>
  <c r="V427" i="6"/>
  <c r="W427" i="6"/>
  <c r="V428" i="6"/>
  <c r="W428" i="6"/>
  <c r="V429" i="6"/>
  <c r="W429" i="6"/>
  <c r="V430" i="6"/>
  <c r="W430" i="6"/>
  <c r="V431" i="6"/>
  <c r="W431" i="6"/>
  <c r="V432" i="6"/>
  <c r="W432" i="6"/>
  <c r="V433" i="6"/>
  <c r="W433" i="6"/>
  <c r="V434" i="6"/>
  <c r="W434" i="6"/>
  <c r="V435" i="6"/>
  <c r="W435" i="6"/>
  <c r="V436" i="6"/>
  <c r="W436" i="6"/>
  <c r="V437" i="6"/>
  <c r="W437" i="6"/>
  <c r="V438" i="6"/>
  <c r="W438" i="6"/>
  <c r="V439" i="6"/>
  <c r="W439" i="6"/>
  <c r="V440" i="6"/>
  <c r="W440" i="6"/>
  <c r="V441" i="6"/>
  <c r="W441" i="6"/>
  <c r="V442" i="6"/>
  <c r="W442" i="6"/>
  <c r="V443" i="6"/>
  <c r="W443" i="6"/>
  <c r="V444" i="6"/>
  <c r="W444" i="6"/>
  <c r="V445" i="6"/>
  <c r="W445" i="6"/>
  <c r="V446" i="6"/>
  <c r="W446" i="6"/>
  <c r="V447" i="6"/>
  <c r="W447" i="6"/>
  <c r="V448" i="6"/>
  <c r="W448" i="6"/>
  <c r="V449" i="6"/>
  <c r="W449" i="6"/>
  <c r="V450" i="6"/>
  <c r="W450" i="6"/>
  <c r="V451" i="6"/>
  <c r="W451" i="6"/>
  <c r="V452" i="6"/>
  <c r="W452" i="6"/>
  <c r="V453" i="6"/>
  <c r="W453" i="6"/>
  <c r="V454" i="6"/>
  <c r="W454" i="6"/>
  <c r="V455" i="6"/>
  <c r="W455" i="6"/>
  <c r="V456" i="6"/>
  <c r="W456" i="6"/>
  <c r="V457" i="6"/>
  <c r="W457" i="6"/>
  <c r="V458" i="6"/>
  <c r="W458" i="6"/>
  <c r="V459" i="6"/>
  <c r="W459" i="6"/>
  <c r="V460" i="6"/>
  <c r="W460" i="6"/>
  <c r="V461" i="6"/>
  <c r="W461" i="6"/>
  <c r="V462" i="6"/>
  <c r="W462" i="6"/>
  <c r="V463" i="6"/>
  <c r="W463" i="6"/>
  <c r="V464" i="6"/>
  <c r="W464" i="6"/>
  <c r="V465" i="6"/>
  <c r="W465" i="6"/>
  <c r="V466" i="6"/>
  <c r="W466" i="6"/>
  <c r="V467" i="6"/>
  <c r="W467" i="6"/>
  <c r="V468" i="6"/>
  <c r="W468" i="6"/>
  <c r="V469" i="6"/>
  <c r="W469" i="6"/>
  <c r="V470" i="6"/>
  <c r="W470" i="6"/>
  <c r="V471" i="6"/>
  <c r="W471" i="6"/>
  <c r="V472" i="6"/>
  <c r="W472" i="6"/>
  <c r="V473" i="6"/>
  <c r="W473" i="6"/>
  <c r="V474" i="6"/>
  <c r="W474" i="6"/>
  <c r="V475" i="6"/>
  <c r="W475" i="6"/>
  <c r="V476" i="6"/>
  <c r="W476" i="6"/>
  <c r="W319" i="6"/>
  <c r="V319" i="6"/>
  <c r="V162" i="6"/>
  <c r="W162" i="6"/>
  <c r="V163" i="6"/>
  <c r="W163" i="6"/>
  <c r="V164" i="6"/>
  <c r="W164" i="6"/>
  <c r="V165" i="6"/>
  <c r="W165" i="6"/>
  <c r="V166" i="6"/>
  <c r="W166" i="6"/>
  <c r="V167" i="6"/>
  <c r="W167" i="6"/>
  <c r="V168" i="6"/>
  <c r="W168" i="6"/>
  <c r="V169" i="6"/>
  <c r="W169" i="6"/>
  <c r="V170" i="6"/>
  <c r="W170" i="6"/>
  <c r="V171" i="6"/>
  <c r="W171" i="6"/>
  <c r="V172" i="6"/>
  <c r="W172" i="6"/>
  <c r="V173" i="6"/>
  <c r="W173" i="6"/>
  <c r="V174" i="6"/>
  <c r="W174" i="6"/>
  <c r="V175" i="6"/>
  <c r="W175" i="6"/>
  <c r="V176" i="6"/>
  <c r="W176" i="6"/>
  <c r="V177" i="6"/>
  <c r="W177" i="6"/>
  <c r="V178" i="6"/>
  <c r="W178" i="6"/>
  <c r="V179" i="6"/>
  <c r="W179" i="6"/>
  <c r="V180" i="6"/>
  <c r="W180" i="6"/>
  <c r="V181" i="6"/>
  <c r="W181" i="6"/>
  <c r="V182" i="6"/>
  <c r="W182" i="6"/>
  <c r="V183" i="6"/>
  <c r="W183" i="6"/>
  <c r="V184" i="6"/>
  <c r="W184" i="6"/>
  <c r="V185" i="6"/>
  <c r="W185" i="6"/>
  <c r="V186" i="6"/>
  <c r="W186" i="6"/>
  <c r="V187" i="6"/>
  <c r="W187" i="6"/>
  <c r="V188" i="6"/>
  <c r="W188" i="6"/>
  <c r="V189" i="6"/>
  <c r="W189" i="6"/>
  <c r="V190" i="6"/>
  <c r="W190" i="6"/>
  <c r="V191" i="6"/>
  <c r="W191" i="6"/>
  <c r="V192" i="6"/>
  <c r="W192" i="6"/>
  <c r="V193" i="6"/>
  <c r="W193" i="6"/>
  <c r="V194" i="6"/>
  <c r="W194" i="6"/>
  <c r="V195" i="6"/>
  <c r="W195" i="6"/>
  <c r="V196" i="6"/>
  <c r="W196" i="6"/>
  <c r="V197" i="6"/>
  <c r="W197" i="6"/>
  <c r="V198" i="6"/>
  <c r="W198" i="6"/>
  <c r="V199" i="6"/>
  <c r="W199" i="6"/>
  <c r="V200" i="6"/>
  <c r="W200" i="6"/>
  <c r="V201" i="6"/>
  <c r="W201" i="6"/>
  <c r="V202" i="6"/>
  <c r="W202" i="6"/>
  <c r="V203" i="6"/>
  <c r="W203" i="6"/>
  <c r="V204" i="6"/>
  <c r="W204" i="6"/>
  <c r="V205" i="6"/>
  <c r="W205" i="6"/>
  <c r="V206" i="6"/>
  <c r="W206" i="6"/>
  <c r="V207" i="6"/>
  <c r="W207" i="6"/>
  <c r="V208" i="6"/>
  <c r="W208" i="6"/>
  <c r="V209" i="6"/>
  <c r="W209" i="6"/>
  <c r="V210" i="6"/>
  <c r="W210" i="6"/>
  <c r="V211" i="6"/>
  <c r="W211" i="6"/>
  <c r="V212" i="6"/>
  <c r="W212" i="6"/>
  <c r="V213" i="6"/>
  <c r="W213" i="6"/>
  <c r="V214" i="6"/>
  <c r="W214" i="6"/>
  <c r="V215" i="6"/>
  <c r="W215" i="6"/>
  <c r="V216" i="6"/>
  <c r="W216" i="6"/>
  <c r="V217" i="6"/>
  <c r="W217" i="6"/>
  <c r="V218" i="6"/>
  <c r="W218" i="6"/>
  <c r="V219" i="6"/>
  <c r="W219" i="6"/>
  <c r="V220" i="6"/>
  <c r="W220" i="6"/>
  <c r="V221" i="6"/>
  <c r="W221" i="6"/>
  <c r="V222" i="6"/>
  <c r="W222" i="6"/>
  <c r="V223" i="6"/>
  <c r="W223" i="6"/>
  <c r="V224" i="6"/>
  <c r="W224" i="6"/>
  <c r="V225" i="6"/>
  <c r="W225" i="6"/>
  <c r="V226" i="6"/>
  <c r="W226" i="6"/>
  <c r="V227" i="6"/>
  <c r="W227" i="6"/>
  <c r="V228" i="6"/>
  <c r="W228" i="6"/>
  <c r="V229" i="6"/>
  <c r="W229" i="6"/>
  <c r="V230" i="6"/>
  <c r="W230" i="6"/>
  <c r="V231" i="6"/>
  <c r="W231" i="6"/>
  <c r="V232" i="6"/>
  <c r="W232" i="6"/>
  <c r="V233" i="6"/>
  <c r="W233" i="6"/>
  <c r="V234" i="6"/>
  <c r="W234" i="6"/>
  <c r="V235" i="6"/>
  <c r="W235" i="6"/>
  <c r="V236" i="6"/>
  <c r="W236" i="6"/>
  <c r="V237" i="6"/>
  <c r="W237" i="6"/>
  <c r="V238" i="6"/>
  <c r="W238" i="6"/>
  <c r="V239" i="6"/>
  <c r="W239" i="6"/>
  <c r="V240" i="6"/>
  <c r="W240" i="6"/>
  <c r="V241" i="6"/>
  <c r="W241" i="6"/>
  <c r="V242" i="6"/>
  <c r="W242" i="6"/>
  <c r="V243" i="6"/>
  <c r="W243" i="6"/>
  <c r="V244" i="6"/>
  <c r="W244" i="6"/>
  <c r="V245" i="6"/>
  <c r="W245" i="6"/>
  <c r="V246" i="6"/>
  <c r="W246" i="6"/>
  <c r="V247" i="6"/>
  <c r="W247" i="6"/>
  <c r="V248" i="6"/>
  <c r="W248" i="6"/>
  <c r="V249" i="6"/>
  <c r="W249" i="6"/>
  <c r="V250" i="6"/>
  <c r="W250" i="6"/>
  <c r="V251" i="6"/>
  <c r="W251" i="6"/>
  <c r="V252" i="6"/>
  <c r="W252" i="6"/>
  <c r="V253" i="6"/>
  <c r="W253" i="6"/>
  <c r="V254" i="6"/>
  <c r="W254" i="6"/>
  <c r="V255" i="6"/>
  <c r="W255" i="6"/>
  <c r="V256" i="6"/>
  <c r="W256" i="6"/>
  <c r="V257" i="6"/>
  <c r="W257" i="6"/>
  <c r="V258" i="6"/>
  <c r="W258" i="6"/>
  <c r="V259" i="6"/>
  <c r="W259" i="6"/>
  <c r="V260" i="6"/>
  <c r="W260" i="6"/>
  <c r="V261" i="6"/>
  <c r="W261" i="6"/>
  <c r="V262" i="6"/>
  <c r="W262" i="6"/>
  <c r="V263" i="6"/>
  <c r="W263" i="6"/>
  <c r="V264" i="6"/>
  <c r="W264" i="6"/>
  <c r="V265" i="6"/>
  <c r="W265" i="6"/>
  <c r="V266" i="6"/>
  <c r="W266" i="6"/>
  <c r="V267" i="6"/>
  <c r="W267" i="6"/>
  <c r="V268" i="6"/>
  <c r="W268" i="6"/>
  <c r="V269" i="6"/>
  <c r="W269" i="6"/>
  <c r="V270" i="6"/>
  <c r="W270" i="6"/>
  <c r="V271" i="6"/>
  <c r="W271" i="6"/>
  <c r="V272" i="6"/>
  <c r="W272" i="6"/>
  <c r="V273" i="6"/>
  <c r="W273" i="6"/>
  <c r="V274" i="6"/>
  <c r="W274" i="6"/>
  <c r="V275" i="6"/>
  <c r="W275" i="6"/>
  <c r="V276" i="6"/>
  <c r="W276" i="6"/>
  <c r="V277" i="6"/>
  <c r="W277" i="6"/>
  <c r="V278" i="6"/>
  <c r="W278" i="6"/>
  <c r="V279" i="6"/>
  <c r="W279" i="6"/>
  <c r="V280" i="6"/>
  <c r="W280" i="6"/>
  <c r="V281" i="6"/>
  <c r="W281" i="6"/>
  <c r="V282" i="6"/>
  <c r="W282" i="6"/>
  <c r="V283" i="6"/>
  <c r="W283" i="6"/>
  <c r="V284" i="6"/>
  <c r="W284" i="6"/>
  <c r="V285" i="6"/>
  <c r="W285" i="6"/>
  <c r="V286" i="6"/>
  <c r="W286" i="6"/>
  <c r="V287" i="6"/>
  <c r="W287" i="6"/>
  <c r="V288" i="6"/>
  <c r="W288" i="6"/>
  <c r="V289" i="6"/>
  <c r="W289" i="6"/>
  <c r="V290" i="6"/>
  <c r="W290" i="6"/>
  <c r="V291" i="6"/>
  <c r="W291" i="6"/>
  <c r="V292" i="6"/>
  <c r="W292" i="6"/>
  <c r="V293" i="6"/>
  <c r="W293" i="6"/>
  <c r="V294" i="6"/>
  <c r="W294" i="6"/>
  <c r="V295" i="6"/>
  <c r="W295" i="6"/>
  <c r="V296" i="6"/>
  <c r="W296" i="6"/>
  <c r="V297" i="6"/>
  <c r="W297" i="6"/>
  <c r="V298" i="6"/>
  <c r="W298" i="6"/>
  <c r="V299" i="6"/>
  <c r="W299" i="6"/>
  <c r="V300" i="6"/>
  <c r="W300" i="6"/>
  <c r="V301" i="6"/>
  <c r="W301" i="6"/>
  <c r="V302" i="6"/>
  <c r="W302" i="6"/>
  <c r="V303" i="6"/>
  <c r="W303" i="6"/>
  <c r="V304" i="6"/>
  <c r="W304" i="6"/>
  <c r="V305" i="6"/>
  <c r="W305" i="6"/>
  <c r="V306" i="6"/>
  <c r="W306" i="6"/>
  <c r="V307" i="6"/>
  <c r="W307" i="6"/>
  <c r="V308" i="6"/>
  <c r="W308" i="6"/>
  <c r="V309" i="6"/>
  <c r="W309" i="6"/>
  <c r="V310" i="6"/>
  <c r="W310" i="6"/>
  <c r="V311" i="6"/>
  <c r="W311" i="6"/>
  <c r="V312" i="6"/>
  <c r="W312" i="6"/>
  <c r="V313" i="6"/>
  <c r="W313" i="6"/>
  <c r="V314" i="6"/>
  <c r="W314" i="6"/>
  <c r="V315" i="6"/>
  <c r="W315" i="6"/>
  <c r="V316" i="6"/>
  <c r="W316" i="6"/>
  <c r="V317" i="6"/>
  <c r="W317" i="6"/>
  <c r="V318" i="6"/>
  <c r="W318" i="6"/>
  <c r="W161" i="6"/>
  <c r="V161" i="6"/>
  <c r="T294" i="6"/>
  <c r="S294" i="6"/>
  <c r="T293" i="6"/>
  <c r="S293" i="6"/>
  <c r="T292" i="6"/>
  <c r="S292" i="6"/>
  <c r="T291" i="6"/>
  <c r="S291" i="6"/>
  <c r="T290" i="6"/>
  <c r="S290" i="6"/>
  <c r="T289" i="6"/>
  <c r="S289" i="6"/>
  <c r="T288" i="6"/>
  <c r="S288" i="6"/>
  <c r="T287" i="6"/>
  <c r="S287" i="6"/>
  <c r="T286" i="6"/>
  <c r="S286" i="6"/>
  <c r="T285" i="6"/>
  <c r="S285" i="6"/>
  <c r="T284" i="6"/>
  <c r="S284" i="6"/>
  <c r="T283" i="6"/>
  <c r="S283" i="6"/>
  <c r="T282" i="6"/>
  <c r="S282" i="6"/>
  <c r="T281" i="6"/>
  <c r="S281" i="6"/>
  <c r="T280" i="6"/>
  <c r="S280" i="6"/>
  <c r="T279" i="6"/>
  <c r="S279" i="6"/>
  <c r="T278" i="6"/>
  <c r="S278" i="6"/>
  <c r="T277" i="6"/>
  <c r="S277" i="6"/>
  <c r="T276" i="6"/>
  <c r="S276" i="6"/>
  <c r="T275" i="6"/>
  <c r="S275" i="6"/>
  <c r="T274" i="6"/>
  <c r="S274" i="6"/>
  <c r="T273" i="6"/>
  <c r="S273" i="6"/>
  <c r="T272" i="6"/>
  <c r="S272" i="6"/>
  <c r="T271" i="6"/>
  <c r="S271" i="6"/>
  <c r="T270" i="6"/>
  <c r="S270" i="6"/>
  <c r="T269" i="6"/>
  <c r="S269" i="6"/>
  <c r="T268" i="6"/>
  <c r="S268" i="6"/>
  <c r="T267" i="6"/>
  <c r="S267" i="6"/>
  <c r="T266" i="6"/>
  <c r="S266" i="6"/>
  <c r="T265" i="6"/>
  <c r="S265" i="6"/>
  <c r="T264" i="6"/>
  <c r="S264" i="6"/>
  <c r="T263" i="6"/>
  <c r="S263" i="6"/>
  <c r="T262" i="6"/>
  <c r="S262" i="6"/>
  <c r="T261" i="6"/>
  <c r="S261" i="6"/>
  <c r="T260" i="6"/>
  <c r="S260" i="6"/>
  <c r="T259" i="6"/>
  <c r="S259" i="6"/>
  <c r="T258" i="6"/>
  <c r="S258" i="6"/>
  <c r="T257" i="6"/>
  <c r="S257" i="6"/>
  <c r="T256" i="6"/>
  <c r="S256" i="6"/>
  <c r="T255" i="6"/>
  <c r="S255" i="6"/>
  <c r="T254" i="6"/>
  <c r="S254" i="6"/>
  <c r="T253" i="6"/>
  <c r="S253" i="6"/>
  <c r="T252" i="6"/>
  <c r="S252" i="6"/>
  <c r="T251" i="6"/>
  <c r="S251" i="6"/>
  <c r="T250" i="6"/>
  <c r="S250" i="6"/>
  <c r="T249" i="6"/>
  <c r="S249" i="6"/>
  <c r="T248" i="6"/>
  <c r="S248" i="6"/>
  <c r="T247" i="6"/>
  <c r="S247" i="6"/>
  <c r="T246" i="6"/>
  <c r="S246" i="6"/>
  <c r="T245" i="6"/>
  <c r="S245" i="6"/>
  <c r="T244" i="6"/>
  <c r="S244" i="6"/>
  <c r="T243" i="6"/>
  <c r="S243" i="6"/>
  <c r="T242" i="6"/>
  <c r="S242" i="6"/>
  <c r="T241" i="6"/>
  <c r="S241" i="6"/>
  <c r="T240" i="6"/>
  <c r="S240" i="6"/>
  <c r="T239" i="6"/>
  <c r="S239" i="6"/>
  <c r="T238" i="6"/>
  <c r="S238" i="6"/>
  <c r="T237" i="6"/>
  <c r="S237" i="6"/>
  <c r="T236" i="6"/>
  <c r="S236" i="6"/>
  <c r="T235" i="6"/>
  <c r="S235" i="6"/>
  <c r="T234" i="6"/>
  <c r="S234" i="6"/>
  <c r="T233" i="6"/>
  <c r="S233" i="6"/>
  <c r="T232" i="6"/>
  <c r="S232" i="6"/>
  <c r="T231" i="6"/>
  <c r="S231" i="6"/>
  <c r="T230" i="6"/>
  <c r="S230" i="6"/>
  <c r="T229" i="6"/>
  <c r="S229" i="6"/>
  <c r="T228" i="6"/>
  <c r="S228" i="6"/>
  <c r="T227" i="6"/>
  <c r="S227" i="6"/>
  <c r="T226" i="6"/>
  <c r="S226" i="6"/>
  <c r="T225" i="6"/>
  <c r="S225" i="6"/>
  <c r="T224" i="6"/>
  <c r="S224" i="6"/>
  <c r="T223" i="6"/>
  <c r="S223" i="6"/>
  <c r="T222" i="6"/>
  <c r="S222" i="6"/>
  <c r="T221" i="6"/>
  <c r="S221" i="6"/>
  <c r="T220" i="6"/>
  <c r="S220" i="6"/>
  <c r="T219" i="6"/>
  <c r="S219" i="6"/>
  <c r="T218" i="6"/>
  <c r="S218" i="6"/>
  <c r="T217" i="6"/>
  <c r="S217" i="6"/>
  <c r="T216" i="6"/>
  <c r="S216" i="6"/>
  <c r="T215" i="6"/>
  <c r="S215" i="6"/>
  <c r="T214" i="6"/>
  <c r="S214" i="6"/>
  <c r="T213" i="6"/>
  <c r="S213" i="6"/>
  <c r="T212" i="6"/>
  <c r="S212" i="6"/>
  <c r="T211" i="6"/>
  <c r="S211" i="6"/>
  <c r="T210" i="6"/>
  <c r="S210" i="6"/>
  <c r="T209" i="6"/>
  <c r="S209" i="6"/>
  <c r="T208" i="6"/>
  <c r="S208" i="6"/>
  <c r="T207" i="6"/>
  <c r="S207" i="6"/>
  <c r="T206" i="6"/>
  <c r="S206" i="6"/>
  <c r="T205" i="6"/>
  <c r="S205" i="6"/>
  <c r="T204" i="6"/>
  <c r="S204" i="6"/>
  <c r="T203" i="6"/>
  <c r="S203" i="6"/>
  <c r="T202" i="6"/>
  <c r="S202" i="6"/>
  <c r="T201" i="6"/>
  <c r="S201" i="6"/>
  <c r="T200" i="6"/>
  <c r="S200" i="6"/>
  <c r="T199" i="6"/>
  <c r="S199" i="6"/>
  <c r="T198" i="6"/>
  <c r="S198" i="6"/>
  <c r="T197" i="6"/>
  <c r="S197" i="6"/>
  <c r="T196" i="6"/>
  <c r="S196" i="6"/>
  <c r="T195" i="6"/>
  <c r="S195" i="6"/>
  <c r="T194" i="6"/>
  <c r="S194" i="6"/>
  <c r="T193" i="6"/>
  <c r="S193" i="6"/>
  <c r="T192" i="6"/>
  <c r="S192" i="6"/>
  <c r="T191" i="6"/>
  <c r="S191" i="6"/>
  <c r="T190" i="6"/>
  <c r="S190" i="6"/>
  <c r="T189" i="6"/>
  <c r="S189" i="6"/>
  <c r="T188" i="6"/>
  <c r="S188" i="6"/>
  <c r="T187" i="6"/>
  <c r="S187" i="6"/>
  <c r="T186" i="6"/>
  <c r="S186" i="6"/>
  <c r="T185" i="6"/>
  <c r="S185" i="6"/>
  <c r="T184" i="6"/>
  <c r="S184" i="6"/>
  <c r="T183" i="6"/>
  <c r="S183" i="6"/>
  <c r="T182" i="6"/>
  <c r="S182" i="6"/>
  <c r="T181" i="6"/>
  <c r="S181" i="6"/>
  <c r="T180" i="6"/>
  <c r="S180" i="6"/>
  <c r="T179" i="6"/>
  <c r="S179" i="6"/>
  <c r="T178" i="6"/>
  <c r="S178" i="6"/>
  <c r="T177" i="6"/>
  <c r="S177" i="6"/>
  <c r="T176" i="6"/>
  <c r="S176" i="6"/>
  <c r="T175" i="6"/>
  <c r="S175" i="6"/>
  <c r="T174" i="6"/>
  <c r="S174" i="6"/>
  <c r="T173" i="6"/>
  <c r="S173" i="6"/>
  <c r="T172" i="6"/>
  <c r="S172" i="6"/>
  <c r="T171" i="6"/>
  <c r="S171" i="6"/>
  <c r="T170" i="6"/>
  <c r="S170" i="6"/>
  <c r="T169" i="6"/>
  <c r="S169" i="6"/>
  <c r="T168" i="6"/>
  <c r="S168" i="6"/>
  <c r="T167" i="6"/>
  <c r="S167" i="6"/>
  <c r="T166" i="6"/>
  <c r="S166" i="6"/>
  <c r="T165" i="6"/>
  <c r="S165" i="6"/>
  <c r="T164" i="6"/>
  <c r="S164" i="6"/>
  <c r="T163" i="6"/>
  <c r="S163" i="6"/>
  <c r="T162" i="6"/>
  <c r="S162" i="6"/>
  <c r="T161" i="6"/>
  <c r="S161" i="6"/>
  <c r="T160" i="6"/>
  <c r="S160" i="6"/>
  <c r="T159" i="6"/>
  <c r="S159" i="6"/>
  <c r="T158" i="6"/>
  <c r="S158" i="6"/>
  <c r="T157" i="6"/>
  <c r="S157" i="6"/>
  <c r="T156" i="6"/>
  <c r="S156" i="6"/>
  <c r="T155" i="6"/>
  <c r="S155" i="6"/>
  <c r="T154" i="6"/>
  <c r="S154" i="6"/>
  <c r="T153" i="6"/>
  <c r="S153" i="6"/>
  <c r="T152" i="6"/>
  <c r="S152" i="6"/>
  <c r="T151" i="6"/>
  <c r="S151" i="6"/>
  <c r="T150" i="6"/>
  <c r="S150" i="6"/>
  <c r="T149" i="6"/>
  <c r="S149" i="6"/>
  <c r="Q150" i="6"/>
  <c r="Q151" i="6"/>
  <c r="Q152" i="6"/>
  <c r="Q153" i="6"/>
  <c r="Q154" i="6"/>
  <c r="Q155" i="6"/>
  <c r="Q156" i="6"/>
  <c r="Q157" i="6"/>
  <c r="Q158" i="6"/>
  <c r="Q159" i="6"/>
  <c r="Q160" i="6"/>
  <c r="Q161" i="6"/>
  <c r="Q162" i="6"/>
  <c r="Q163" i="6"/>
  <c r="Q164" i="6"/>
  <c r="Q165" i="6"/>
  <c r="Q166" i="6"/>
  <c r="Q167" i="6"/>
  <c r="Q168" i="6"/>
  <c r="Q169" i="6"/>
  <c r="Q170" i="6"/>
  <c r="Q171" i="6"/>
  <c r="Q172" i="6"/>
  <c r="Q173" i="6"/>
  <c r="Q174" i="6"/>
  <c r="Q175" i="6"/>
  <c r="Q176" i="6"/>
  <c r="Q177" i="6"/>
  <c r="Q178" i="6"/>
  <c r="Q179" i="6"/>
  <c r="Q180" i="6"/>
  <c r="Q181" i="6"/>
  <c r="Q182" i="6"/>
  <c r="Q183" i="6"/>
  <c r="Q184" i="6"/>
  <c r="Q185" i="6"/>
  <c r="Q186" i="6"/>
  <c r="Q187" i="6"/>
  <c r="Q188" i="6"/>
  <c r="Q189" i="6"/>
  <c r="Q190" i="6"/>
  <c r="Q191" i="6"/>
  <c r="Q192" i="6"/>
  <c r="Q193" i="6"/>
  <c r="Q194" i="6"/>
  <c r="Q195" i="6"/>
  <c r="Q196" i="6"/>
  <c r="Q197" i="6"/>
  <c r="Q198" i="6"/>
  <c r="Q199" i="6"/>
  <c r="Q200" i="6"/>
  <c r="Q201" i="6"/>
  <c r="Q202" i="6"/>
  <c r="Q203" i="6"/>
  <c r="Q204" i="6"/>
  <c r="Q205" i="6"/>
  <c r="Q206" i="6"/>
  <c r="Q207" i="6"/>
  <c r="Q208" i="6"/>
  <c r="Q209" i="6"/>
  <c r="Q210" i="6"/>
  <c r="Q211" i="6"/>
  <c r="Q212" i="6"/>
  <c r="Q213" i="6"/>
  <c r="Q214" i="6"/>
  <c r="Q215" i="6"/>
  <c r="Q216" i="6"/>
  <c r="Q217" i="6"/>
  <c r="Q218" i="6"/>
  <c r="Q219" i="6"/>
  <c r="Q220" i="6"/>
  <c r="Q221" i="6"/>
  <c r="Q222" i="6"/>
  <c r="Q223" i="6"/>
  <c r="Q224" i="6"/>
  <c r="Q225" i="6"/>
  <c r="Q226" i="6"/>
  <c r="Q227" i="6"/>
  <c r="Q228" i="6"/>
  <c r="Q229" i="6"/>
  <c r="Q230" i="6"/>
  <c r="Q231" i="6"/>
  <c r="Q232" i="6"/>
  <c r="Q233" i="6"/>
  <c r="Q234" i="6"/>
  <c r="Q235" i="6"/>
  <c r="Q236" i="6"/>
  <c r="Q237" i="6"/>
  <c r="Q238" i="6"/>
  <c r="Q239" i="6"/>
  <c r="Q240" i="6"/>
  <c r="Q241" i="6"/>
  <c r="Q242" i="6"/>
  <c r="Q243" i="6"/>
  <c r="Q244" i="6"/>
  <c r="Q245" i="6"/>
  <c r="Q246" i="6"/>
  <c r="Q247" i="6"/>
  <c r="Q248" i="6"/>
  <c r="Q249" i="6"/>
  <c r="Q250" i="6"/>
  <c r="Q251" i="6"/>
  <c r="Q252" i="6"/>
  <c r="Q253" i="6"/>
  <c r="Q254" i="6"/>
  <c r="Q255" i="6"/>
  <c r="Q256" i="6"/>
  <c r="Q257" i="6"/>
  <c r="Q258" i="6"/>
  <c r="Q259" i="6"/>
  <c r="Q260" i="6"/>
  <c r="Q261" i="6"/>
  <c r="Q262" i="6"/>
  <c r="Q263" i="6"/>
  <c r="Q264" i="6"/>
  <c r="Q265" i="6"/>
  <c r="Q266" i="6"/>
  <c r="Q267" i="6"/>
  <c r="Q268" i="6"/>
  <c r="Q269" i="6"/>
  <c r="Q270" i="6"/>
  <c r="Q271" i="6"/>
  <c r="Q272" i="6"/>
  <c r="Q273" i="6"/>
  <c r="Q274" i="6"/>
  <c r="Q275" i="6"/>
  <c r="Q276" i="6"/>
  <c r="Q277" i="6"/>
  <c r="Q278" i="6"/>
  <c r="Q279" i="6"/>
  <c r="Q280" i="6"/>
  <c r="Q281" i="6"/>
  <c r="Q282" i="6"/>
  <c r="Q283" i="6"/>
  <c r="Q284" i="6"/>
  <c r="Q285" i="6"/>
  <c r="Q286" i="6"/>
  <c r="Q287" i="6"/>
  <c r="Q288" i="6"/>
  <c r="Q289" i="6"/>
  <c r="Q290" i="6"/>
  <c r="Q291" i="6"/>
  <c r="Q292" i="6"/>
  <c r="Q293" i="6"/>
  <c r="Q294" i="6"/>
  <c r="Q149" i="6"/>
  <c r="P150" i="6"/>
  <c r="P151" i="6"/>
  <c r="P152" i="6"/>
  <c r="P153" i="6"/>
  <c r="P154" i="6"/>
  <c r="P155" i="6"/>
  <c r="P156" i="6"/>
  <c r="P157" i="6"/>
  <c r="P158" i="6"/>
  <c r="P159" i="6"/>
  <c r="P160" i="6"/>
  <c r="P161" i="6"/>
  <c r="P162" i="6"/>
  <c r="P163" i="6"/>
  <c r="P164" i="6"/>
  <c r="P165" i="6"/>
  <c r="P166" i="6"/>
  <c r="P167" i="6"/>
  <c r="P168" i="6"/>
  <c r="P169" i="6"/>
  <c r="P170" i="6"/>
  <c r="P171" i="6"/>
  <c r="P172" i="6"/>
  <c r="P173" i="6"/>
  <c r="P174" i="6"/>
  <c r="P175" i="6"/>
  <c r="P176" i="6"/>
  <c r="P177" i="6"/>
  <c r="P178" i="6"/>
  <c r="P179" i="6"/>
  <c r="P180" i="6"/>
  <c r="P181" i="6"/>
  <c r="P182" i="6"/>
  <c r="P183" i="6"/>
  <c r="P184" i="6"/>
  <c r="P185" i="6"/>
  <c r="P186" i="6"/>
  <c r="P187" i="6"/>
  <c r="P188" i="6"/>
  <c r="P189" i="6"/>
  <c r="P190" i="6"/>
  <c r="P191" i="6"/>
  <c r="P192" i="6"/>
  <c r="P193" i="6"/>
  <c r="P194" i="6"/>
  <c r="P195" i="6"/>
  <c r="P196" i="6"/>
  <c r="P197" i="6"/>
  <c r="P198" i="6"/>
  <c r="P199" i="6"/>
  <c r="P200" i="6"/>
  <c r="P201" i="6"/>
  <c r="P202" i="6"/>
  <c r="P203" i="6"/>
  <c r="P204" i="6"/>
  <c r="P205" i="6"/>
  <c r="P206" i="6"/>
  <c r="P207" i="6"/>
  <c r="P208" i="6"/>
  <c r="P209" i="6"/>
  <c r="P210" i="6"/>
  <c r="P211" i="6"/>
  <c r="P212" i="6"/>
  <c r="P213" i="6"/>
  <c r="P214" i="6"/>
  <c r="P215" i="6"/>
  <c r="P216" i="6"/>
  <c r="P217" i="6"/>
  <c r="P218" i="6"/>
  <c r="P219" i="6"/>
  <c r="P220" i="6"/>
  <c r="P221" i="6"/>
  <c r="P222" i="6"/>
  <c r="P223" i="6"/>
  <c r="P224" i="6"/>
  <c r="P225" i="6"/>
  <c r="P226" i="6"/>
  <c r="P227" i="6"/>
  <c r="P228" i="6"/>
  <c r="P229" i="6"/>
  <c r="P230" i="6"/>
  <c r="P231" i="6"/>
  <c r="P232" i="6"/>
  <c r="P233" i="6"/>
  <c r="P234" i="6"/>
  <c r="P235" i="6"/>
  <c r="P236" i="6"/>
  <c r="P237" i="6"/>
  <c r="P238" i="6"/>
  <c r="P239" i="6"/>
  <c r="P240" i="6"/>
  <c r="P241" i="6"/>
  <c r="P242" i="6"/>
  <c r="P243" i="6"/>
  <c r="P244" i="6"/>
  <c r="P245" i="6"/>
  <c r="P246" i="6"/>
  <c r="P247" i="6"/>
  <c r="P248" i="6"/>
  <c r="P249" i="6"/>
  <c r="P250" i="6"/>
  <c r="P251" i="6"/>
  <c r="P252" i="6"/>
  <c r="P253" i="6"/>
  <c r="P254" i="6"/>
  <c r="P255" i="6"/>
  <c r="P256" i="6"/>
  <c r="P257" i="6"/>
  <c r="P258" i="6"/>
  <c r="P259" i="6"/>
  <c r="P260" i="6"/>
  <c r="P261" i="6"/>
  <c r="P262" i="6"/>
  <c r="P263" i="6"/>
  <c r="P264" i="6"/>
  <c r="P265" i="6"/>
  <c r="P266" i="6"/>
  <c r="P267" i="6"/>
  <c r="P268" i="6"/>
  <c r="P269" i="6"/>
  <c r="P270" i="6"/>
  <c r="P271" i="6"/>
  <c r="P272" i="6"/>
  <c r="P273" i="6"/>
  <c r="P274" i="6"/>
  <c r="P275" i="6"/>
  <c r="P276" i="6"/>
  <c r="P277" i="6"/>
  <c r="P278" i="6"/>
  <c r="P279" i="6"/>
  <c r="P280" i="6"/>
  <c r="P281" i="6"/>
  <c r="P282" i="6"/>
  <c r="P283" i="6"/>
  <c r="P284" i="6"/>
  <c r="P285" i="6"/>
  <c r="P286" i="6"/>
  <c r="P287" i="6"/>
  <c r="P288" i="6"/>
  <c r="P289" i="6"/>
  <c r="P290" i="6"/>
  <c r="P291" i="6"/>
  <c r="P292" i="6"/>
  <c r="P293" i="6"/>
  <c r="P294" i="6"/>
  <c r="P149" i="6"/>
  <c r="BS3" i="2"/>
  <c r="EG21" i="2"/>
  <c r="EH21" i="2"/>
  <c r="EI21" i="2"/>
  <c r="EJ21" i="2"/>
  <c r="EK21" i="2"/>
  <c r="EL21" i="2"/>
  <c r="EM21" i="2"/>
  <c r="EN21" i="2"/>
  <c r="EO21" i="2"/>
  <c r="EP21" i="2"/>
  <c r="EQ21" i="2"/>
  <c r="ER21" i="2"/>
  <c r="ES21" i="2"/>
  <c r="ET21" i="2"/>
  <c r="EU21" i="2"/>
  <c r="EV21" i="2"/>
  <c r="EW21" i="2"/>
  <c r="EX21" i="2"/>
  <c r="EY21" i="2"/>
  <c r="EZ21" i="2"/>
  <c r="EG23" i="2"/>
  <c r="EH23" i="2"/>
  <c r="EI23" i="2"/>
  <c r="EJ23" i="2"/>
  <c r="EK23" i="2"/>
  <c r="EL23" i="2"/>
  <c r="EM23" i="2"/>
  <c r="EN23" i="2"/>
  <c r="EO23" i="2"/>
  <c r="EP23" i="2"/>
  <c r="EQ23" i="2"/>
  <c r="ER23" i="2"/>
  <c r="ES23" i="2"/>
  <c r="ET23" i="2"/>
  <c r="EU23" i="2"/>
  <c r="EV23" i="2"/>
  <c r="EW23" i="2"/>
  <c r="EX23" i="2"/>
  <c r="EY23" i="2"/>
  <c r="EZ23" i="2"/>
  <c r="EG25" i="2"/>
  <c r="EH25" i="2"/>
  <c r="EI25" i="2"/>
  <c r="EJ25" i="2"/>
  <c r="EK25" i="2"/>
  <c r="EL25" i="2"/>
  <c r="EM25" i="2"/>
  <c r="EN25" i="2"/>
  <c r="EO25" i="2"/>
  <c r="EP25" i="2"/>
  <c r="EQ25" i="2"/>
  <c r="ER25" i="2"/>
  <c r="ES25" i="2"/>
  <c r="ET25" i="2"/>
  <c r="EU25" i="2"/>
  <c r="EV25" i="2"/>
  <c r="EW25" i="2"/>
  <c r="EX25" i="2"/>
  <c r="EY25" i="2"/>
  <c r="EZ25" i="2"/>
  <c r="EH19" i="2"/>
  <c r="EI19" i="2"/>
  <c r="EJ19" i="2"/>
  <c r="EK19" i="2"/>
  <c r="EL19" i="2"/>
  <c r="EM19" i="2"/>
  <c r="EN19" i="2"/>
  <c r="EO19" i="2"/>
  <c r="EP19" i="2"/>
  <c r="EQ19" i="2"/>
  <c r="ER19" i="2"/>
  <c r="ES19" i="2"/>
  <c r="ET19" i="2"/>
  <c r="EU19" i="2"/>
  <c r="EV19" i="2"/>
  <c r="EW19" i="2"/>
  <c r="EX19" i="2"/>
  <c r="EY19" i="2"/>
  <c r="EZ19" i="2"/>
  <c r="EG19" i="2"/>
  <c r="CA5" i="2"/>
  <c r="CA6" i="2"/>
  <c r="CA7" i="2"/>
  <c r="CA4" i="2"/>
  <c r="T4" i="1"/>
  <c r="T5" i="1"/>
  <c r="T6" i="1"/>
  <c r="T7" i="1"/>
  <c r="T8" i="1"/>
  <c r="T9" i="1"/>
  <c r="T10" i="1"/>
  <c r="T11" i="1"/>
  <c r="T12" i="1"/>
  <c r="T13" i="1"/>
  <c r="T14" i="1"/>
  <c r="T15" i="1"/>
  <c r="T16" i="1"/>
  <c r="T17" i="1"/>
  <c r="T18" i="1"/>
  <c r="T19" i="1"/>
  <c r="T20" i="1"/>
  <c r="T21" i="1"/>
  <c r="T22" i="1"/>
  <c r="T23" i="1"/>
  <c r="T24" i="1"/>
  <c r="T25" i="1"/>
  <c r="T26" i="1"/>
  <c r="T27" i="1"/>
  <c r="T28" i="1"/>
  <c r="T29" i="1"/>
  <c r="T30" i="1"/>
  <c r="T31" i="1"/>
  <c r="T32" i="1"/>
  <c r="T33" i="1"/>
  <c r="T34" i="1"/>
  <c r="T35" i="1"/>
  <c r="T36" i="1"/>
  <c r="T37" i="1"/>
  <c r="T38" i="1"/>
  <c r="T3" i="1"/>
  <c r="EP27" i="2" l="1"/>
  <c r="EJ27" i="2"/>
  <c r="ET27" i="2"/>
  <c r="EN27" i="2"/>
  <c r="EX27" i="2"/>
  <c r="ER27" i="2"/>
  <c r="EV27" i="2"/>
  <c r="EK27" i="2"/>
  <c r="EI27" i="2"/>
  <c r="EO27" i="2"/>
  <c r="EM27" i="2"/>
  <c r="ES27" i="2"/>
  <c r="EQ27" i="2"/>
  <c r="EW27" i="2"/>
  <c r="EU27" i="2"/>
  <c r="EH27" i="2"/>
  <c r="EY27" i="2"/>
  <c r="EL27" i="2"/>
  <c r="EZ27" i="2"/>
  <c r="EV26" i="2"/>
  <c r="EZ22" i="2"/>
  <c r="EJ22" i="2"/>
  <c r="ER22" i="2"/>
  <c r="EM26" i="2"/>
  <c r="ER26" i="2"/>
  <c r="EL26" i="2"/>
  <c r="EK22" i="2"/>
  <c r="EM22" i="2"/>
  <c r="ES26" i="2"/>
  <c r="EK26" i="2"/>
  <c r="EV22" i="2"/>
  <c r="EL22" i="2"/>
  <c r="EY26" i="2"/>
  <c r="EQ26" i="2"/>
  <c r="EI26" i="2"/>
  <c r="EX26" i="2"/>
  <c r="EP26" i="2"/>
  <c r="EG26" i="2"/>
  <c r="EM24" i="2"/>
  <c r="EZ24" i="2"/>
  <c r="ER24" i="2"/>
  <c r="EJ24" i="2"/>
  <c r="ES24" i="2"/>
  <c r="EV24" i="2"/>
  <c r="EY24" i="2"/>
  <c r="EQ24" i="2"/>
  <c r="EI24" i="2"/>
  <c r="EX24" i="2"/>
  <c r="EP24" i="2"/>
  <c r="EK24" i="2"/>
  <c r="EZ26" i="2"/>
  <c r="EJ26" i="2"/>
  <c r="EY22" i="2"/>
  <c r="EQ22" i="2"/>
  <c r="EI22" i="2"/>
  <c r="EH26" i="2"/>
  <c r="EH24" i="2"/>
  <c r="EX22" i="2"/>
  <c r="EP22" i="2"/>
  <c r="EH22" i="2"/>
  <c r="EW26" i="2"/>
  <c r="EO26" i="2"/>
  <c r="EW24" i="2"/>
  <c r="EO24" i="2"/>
  <c r="EG24" i="2"/>
  <c r="EW22" i="2"/>
  <c r="EO22" i="2"/>
  <c r="EG22" i="2"/>
  <c r="EN26" i="2"/>
  <c r="EN24" i="2"/>
  <c r="EN22" i="2"/>
  <c r="EU26" i="2"/>
  <c r="EU24" i="2"/>
  <c r="EU22" i="2"/>
  <c r="ET26" i="2"/>
  <c r="ET24" i="2"/>
  <c r="EL24" i="2"/>
  <c r="ET22" i="2"/>
  <c r="ES22" i="2"/>
  <c r="BS4" i="2"/>
  <c r="BS5" i="2"/>
  <c r="AD16" i="2" s="1"/>
  <c r="M15" i="3" s="1"/>
  <c r="EG27" i="2" l="1"/>
  <c r="EF24" i="2" a="1"/>
  <c r="EF24" i="2" s="1"/>
  <c r="E38" i="2"/>
  <c r="CJ68" i="2"/>
  <c r="CI68" i="2"/>
  <c r="CH68" i="2"/>
  <c r="CG68" i="2"/>
  <c r="CJ66" i="2"/>
  <c r="CI66" i="2"/>
  <c r="CH66" i="2"/>
  <c r="CG66" i="2"/>
  <c r="CJ64" i="2"/>
  <c r="CI64" i="2"/>
  <c r="CH64" i="2"/>
  <c r="CG64" i="2"/>
  <c r="CJ62" i="2"/>
  <c r="CI62" i="2"/>
  <c r="CH62" i="2"/>
  <c r="CG62" i="2"/>
  <c r="CJ60" i="2"/>
  <c r="CI60" i="2"/>
  <c r="CH60" i="2"/>
  <c r="CG60" i="2"/>
  <c r="CJ58" i="2"/>
  <c r="CI58" i="2"/>
  <c r="CH58" i="2"/>
  <c r="CG58" i="2"/>
  <c r="CJ56" i="2"/>
  <c r="CI56" i="2"/>
  <c r="CH56" i="2"/>
  <c r="CG56" i="2"/>
  <c r="CJ54" i="2"/>
  <c r="CI54" i="2"/>
  <c r="CH54" i="2"/>
  <c r="CG54" i="2"/>
  <c r="CJ52" i="2"/>
  <c r="CI52" i="2"/>
  <c r="CH52" i="2"/>
  <c r="CG52" i="2"/>
  <c r="CJ50" i="2"/>
  <c r="CI50" i="2"/>
  <c r="CH50" i="2"/>
  <c r="CG50" i="2"/>
  <c r="CJ48" i="2"/>
  <c r="CI48" i="2"/>
  <c r="CH48" i="2"/>
  <c r="CG48" i="2"/>
  <c r="CJ46" i="2"/>
  <c r="CI46" i="2"/>
  <c r="CH46" i="2"/>
  <c r="CG46" i="2"/>
  <c r="CJ44" i="2"/>
  <c r="CI44" i="2"/>
  <c r="CH44" i="2"/>
  <c r="CG44" i="2"/>
  <c r="CJ42" i="2"/>
  <c r="CI42" i="2"/>
  <c r="CH42" i="2"/>
  <c r="CG42" i="2"/>
  <c r="CJ40" i="2"/>
  <c r="CI40" i="2"/>
  <c r="CH40" i="2"/>
  <c r="CG40" i="2"/>
  <c r="CJ38" i="2"/>
  <c r="CI38" i="2"/>
  <c r="CH38" i="2"/>
  <c r="CG38" i="2"/>
  <c r="CJ36" i="2"/>
  <c r="CI36" i="2"/>
  <c r="CH36" i="2"/>
  <c r="CG36" i="2"/>
  <c r="CJ34" i="2"/>
  <c r="CI34" i="2"/>
  <c r="CH34" i="2"/>
  <c r="CG34" i="2"/>
  <c r="CJ32" i="2"/>
  <c r="CI32" i="2"/>
  <c r="CH32" i="2"/>
  <c r="CG32" i="2"/>
  <c r="CJ30" i="2"/>
  <c r="CI30" i="2"/>
  <c r="CH30" i="2"/>
  <c r="CG30" i="2"/>
  <c r="CJ28" i="2"/>
  <c r="CI28" i="2"/>
  <c r="CH28" i="2"/>
  <c r="CG28" i="2"/>
  <c r="CJ26" i="2"/>
  <c r="CI26" i="2"/>
  <c r="CH26" i="2"/>
  <c r="CG26" i="2"/>
  <c r="CJ24" i="2"/>
  <c r="CI24" i="2"/>
  <c r="CH24" i="2"/>
  <c r="CG24" i="2"/>
  <c r="CJ22" i="2"/>
  <c r="CI22" i="2"/>
  <c r="CH22" i="2"/>
  <c r="CG22" i="2"/>
  <c r="CJ20" i="2"/>
  <c r="CI20" i="2"/>
  <c r="CH20" i="2"/>
  <c r="CG20" i="2"/>
  <c r="BW21" i="2"/>
  <c r="BW23" i="2"/>
  <c r="BW25" i="2"/>
  <c r="BW27" i="2"/>
  <c r="BW29" i="2"/>
  <c r="BW31" i="2"/>
  <c r="BW33" i="2"/>
  <c r="BW35" i="2"/>
  <c r="BW37" i="2"/>
  <c r="BW39" i="2"/>
  <c r="BW41" i="2"/>
  <c r="BW43" i="2"/>
  <c r="BW45" i="2"/>
  <c r="BW47" i="2"/>
  <c r="BW49" i="2"/>
  <c r="BW51" i="2"/>
  <c r="BW53" i="2"/>
  <c r="BW55" i="2"/>
  <c r="BW57" i="2"/>
  <c r="BW59" i="2"/>
  <c r="BW61" i="2"/>
  <c r="BW63" i="2"/>
  <c r="BW65" i="2"/>
  <c r="BW67" i="2"/>
  <c r="BW19" i="2"/>
  <c r="BS6" i="2"/>
  <c r="AV37" i="2" l="1"/>
  <c r="AW38" i="2"/>
  <c r="BA37" i="2"/>
  <c r="BE37" i="2"/>
  <c r="BL37" i="2" s="1"/>
  <c r="BB38" i="2"/>
  <c r="AW37" i="2"/>
  <c r="AX38" i="2"/>
  <c r="BB37" i="2"/>
  <c r="AY38" i="2"/>
  <c r="BC38" i="2"/>
  <c r="AX37" i="2"/>
  <c r="AY37" i="2"/>
  <c r="BC37" i="2"/>
  <c r="AZ38" i="2"/>
  <c r="BD38" i="2"/>
  <c r="AV38" i="2"/>
  <c r="AZ37" i="2"/>
  <c r="BD37" i="2"/>
  <c r="BA38" i="2"/>
  <c r="BE38" i="2"/>
  <c r="BF38" i="2" s="1"/>
  <c r="DC37" i="2"/>
  <c r="DD37" i="2"/>
  <c r="DL37" i="2"/>
  <c r="DP37" i="2"/>
  <c r="DT37" i="2"/>
  <c r="DX37" i="2"/>
  <c r="EB37" i="2"/>
  <c r="DM37" i="2"/>
  <c r="DQ37" i="2"/>
  <c r="DU37" i="2"/>
  <c r="DY37" i="2"/>
  <c r="EC37" i="2"/>
  <c r="DO37" i="2"/>
  <c r="DW37" i="2"/>
  <c r="DN37" i="2"/>
  <c r="DZ37" i="2"/>
  <c r="DR37" i="2"/>
  <c r="EA37" i="2"/>
  <c r="DS37" i="2"/>
  <c r="ED37" i="2"/>
  <c r="DK37" i="2"/>
  <c r="DV37" i="2"/>
  <c r="CN37" i="2"/>
  <c r="CO37" i="2"/>
  <c r="H38" i="2"/>
  <c r="I38" i="2"/>
  <c r="EK29" i="2"/>
  <c r="EH29" i="2"/>
  <c r="EX29" i="2"/>
  <c r="EQ29" i="2"/>
  <c r="EP29" i="2"/>
  <c r="EO29" i="2"/>
  <c r="EL29" i="2"/>
  <c r="EV29" i="2"/>
  <c r="EU29" i="2"/>
  <c r="ET29" i="2"/>
  <c r="ES29" i="2"/>
  <c r="EJ29" i="2"/>
  <c r="EI29" i="2"/>
  <c r="EY29" i="2"/>
  <c r="ER29" i="2"/>
  <c r="EW29" i="2"/>
  <c r="EN29" i="2"/>
  <c r="EM29" i="2"/>
  <c r="EZ29" i="2"/>
  <c r="ER28" i="2"/>
  <c r="EI28" i="2"/>
  <c r="EV28" i="2"/>
  <c r="ES28" i="2"/>
  <c r="EO28" i="2"/>
  <c r="EP28" i="2"/>
  <c r="EY28" i="2"/>
  <c r="EJ28" i="2"/>
  <c r="EL28" i="2"/>
  <c r="EK28" i="2"/>
  <c r="EH28" i="2"/>
  <c r="EN28" i="2"/>
  <c r="ET28" i="2"/>
  <c r="EU28" i="2"/>
  <c r="EX28" i="2"/>
  <c r="EM28" i="2"/>
  <c r="EG28" i="2"/>
  <c r="EZ28" i="2"/>
  <c r="EQ28" i="2"/>
  <c r="EW28" i="2"/>
  <c r="EF22" i="2" a="1"/>
  <c r="EF22" i="2" s="1"/>
  <c r="EF26" i="2" a="1"/>
  <c r="EF26" i="2" s="1"/>
  <c r="CQ37" i="2"/>
  <c r="CG37" i="2"/>
  <c r="CH37" i="2"/>
  <c r="CI37" i="2"/>
  <c r="CJ37" i="2"/>
  <c r="H37" i="2" l="1"/>
  <c r="DV38" i="2"/>
  <c r="EA38" i="2"/>
  <c r="DW38" i="2"/>
  <c r="DU38" i="2"/>
  <c r="DX38" i="2"/>
  <c r="DK38" i="2"/>
  <c r="DR38" i="2"/>
  <c r="DO38" i="2"/>
  <c r="DQ38" i="2"/>
  <c r="DT38" i="2"/>
  <c r="ED38" i="2"/>
  <c r="DZ38" i="2"/>
  <c r="EC38" i="2"/>
  <c r="DP38" i="2"/>
  <c r="DS38" i="2"/>
  <c r="DN38" i="2"/>
  <c r="DY38" i="2"/>
  <c r="EB38" i="2"/>
  <c r="CP37" i="2"/>
  <c r="EF28" i="2" a="1"/>
  <c r="EF28" i="2" s="1"/>
  <c r="EG29" i="2"/>
  <c r="EG30" i="2" s="1"/>
  <c r="BF37" i="2"/>
  <c r="BK38" i="2"/>
  <c r="BO37" i="2"/>
  <c r="BG37" i="2"/>
  <c r="BK37" i="2"/>
  <c r="BO38" i="2"/>
  <c r="BI38" i="2"/>
  <c r="BM38" i="2"/>
  <c r="BH38" i="2"/>
  <c r="BI37" i="2"/>
  <c r="BL38" i="2"/>
  <c r="BG38" i="2"/>
  <c r="BM37" i="2"/>
  <c r="BH37" i="2"/>
  <c r="BN38" i="2"/>
  <c r="BJ38" i="2"/>
  <c r="BN37" i="2"/>
  <c r="BJ37" i="2"/>
  <c r="E34" i="2"/>
  <c r="E32" i="2"/>
  <c r="E30" i="2"/>
  <c r="E28" i="2"/>
  <c r="E26" i="2"/>
  <c r="E24" i="2"/>
  <c r="E22" i="2"/>
  <c r="E36" i="2"/>
  <c r="E40" i="2"/>
  <c r="E42" i="2"/>
  <c r="E44" i="2"/>
  <c r="E46" i="2"/>
  <c r="E48" i="2"/>
  <c r="E50" i="2"/>
  <c r="E52" i="2"/>
  <c r="E54" i="2"/>
  <c r="E56" i="2"/>
  <c r="E58" i="2"/>
  <c r="E60" i="2"/>
  <c r="E62" i="2"/>
  <c r="E64" i="2"/>
  <c r="E66" i="2"/>
  <c r="E68" i="2"/>
  <c r="E20" i="2"/>
  <c r="G47" i="2"/>
  <c r="G49" i="2"/>
  <c r="G51" i="2"/>
  <c r="G53" i="2"/>
  <c r="G55" i="2"/>
  <c r="G57" i="2"/>
  <c r="G59" i="2"/>
  <c r="G61" i="2"/>
  <c r="G63" i="2"/>
  <c r="G65" i="2"/>
  <c r="G67" i="2"/>
  <c r="G19" i="2"/>
  <c r="I11" i="2"/>
  <c r="I10" i="2"/>
  <c r="BU21" i="2"/>
  <c r="BU23" i="2"/>
  <c r="BU25" i="2"/>
  <c r="BU27" i="2"/>
  <c r="BU29" i="2"/>
  <c r="BU19" i="2"/>
  <c r="AV61" i="2" l="1"/>
  <c r="AW62" i="2"/>
  <c r="AW61" i="2"/>
  <c r="AX62" i="2"/>
  <c r="AX61" i="2"/>
  <c r="AZ61" i="2"/>
  <c r="BD61" i="2"/>
  <c r="BA62" i="2"/>
  <c r="BE62" i="2"/>
  <c r="BA61" i="2"/>
  <c r="BE61" i="2"/>
  <c r="BB62" i="2"/>
  <c r="AV62" i="2"/>
  <c r="BB61" i="2"/>
  <c r="AY62" i="2"/>
  <c r="BC62" i="2"/>
  <c r="BC61" i="2"/>
  <c r="AZ62" i="2"/>
  <c r="BD62" i="2"/>
  <c r="AY61" i="2"/>
  <c r="CA61" i="2" s="1"/>
  <c r="AV45" i="2"/>
  <c r="AW46" i="2"/>
  <c r="BA45" i="2"/>
  <c r="CC45" i="2" s="1"/>
  <c r="BE45" i="2"/>
  <c r="BB46" i="2"/>
  <c r="AW45" i="2"/>
  <c r="AX46" i="2"/>
  <c r="BB45" i="2"/>
  <c r="CD45" i="2" s="1"/>
  <c r="AY46" i="2"/>
  <c r="BC46" i="2"/>
  <c r="AX45" i="2"/>
  <c r="BZ45" i="2" s="1"/>
  <c r="AY45" i="2"/>
  <c r="CA45" i="2" s="1"/>
  <c r="BC45" i="2"/>
  <c r="AZ46" i="2"/>
  <c r="BD46" i="2"/>
  <c r="BA46" i="2"/>
  <c r="BE46" i="2"/>
  <c r="AV46" i="2"/>
  <c r="AZ45" i="2"/>
  <c r="CB45" i="2" s="1"/>
  <c r="BD45" i="2"/>
  <c r="AD28" i="2"/>
  <c r="AX27" i="2"/>
  <c r="AY27" i="2"/>
  <c r="CA27" i="2" s="1"/>
  <c r="BC27" i="2"/>
  <c r="AZ28" i="2"/>
  <c r="BD28" i="2"/>
  <c r="AV28" i="2"/>
  <c r="AZ27" i="2"/>
  <c r="CB27" i="2" s="1"/>
  <c r="BD27" i="2"/>
  <c r="BA28" i="2"/>
  <c r="BE28" i="2"/>
  <c r="AV27" i="2"/>
  <c r="BX27" i="2" s="1"/>
  <c r="AW28" i="2"/>
  <c r="BA27" i="2"/>
  <c r="BE27" i="2"/>
  <c r="BB28" i="2"/>
  <c r="AW27" i="2"/>
  <c r="BY27" i="2" s="1"/>
  <c r="AY28" i="2"/>
  <c r="AX28" i="2"/>
  <c r="BC28" i="2"/>
  <c r="BB27" i="2"/>
  <c r="AX59" i="2"/>
  <c r="AV60" i="2"/>
  <c r="AV59" i="2"/>
  <c r="BX59" i="2" s="1"/>
  <c r="AW60" i="2"/>
  <c r="AW59" i="2"/>
  <c r="BB59" i="2"/>
  <c r="AY60" i="2"/>
  <c r="BC60" i="2"/>
  <c r="AX60" i="2"/>
  <c r="AY59" i="2"/>
  <c r="CA59" i="2" s="1"/>
  <c r="BC59" i="2"/>
  <c r="AZ60" i="2"/>
  <c r="BD60" i="2"/>
  <c r="AZ59" i="2"/>
  <c r="BD59" i="2"/>
  <c r="BA60" i="2"/>
  <c r="BE60" i="2"/>
  <c r="BA59" i="2"/>
  <c r="CC59" i="2" s="1"/>
  <c r="BE59" i="2"/>
  <c r="BB60" i="2"/>
  <c r="AX51" i="2"/>
  <c r="AV52" i="2"/>
  <c r="AV51" i="2"/>
  <c r="BX51" i="2" s="1"/>
  <c r="AW52" i="2"/>
  <c r="BB51" i="2"/>
  <c r="AY52" i="2"/>
  <c r="BC52" i="2"/>
  <c r="AY51" i="2"/>
  <c r="BC51" i="2"/>
  <c r="AZ52" i="2"/>
  <c r="BD52" i="2"/>
  <c r="AW51" i="2"/>
  <c r="AZ51" i="2"/>
  <c r="BD51" i="2"/>
  <c r="BA52" i="2"/>
  <c r="BE52" i="2"/>
  <c r="AX52" i="2"/>
  <c r="BB52" i="2"/>
  <c r="BA51" i="2"/>
  <c r="CC51" i="2" s="1"/>
  <c r="BE51" i="2"/>
  <c r="AV21" i="2"/>
  <c r="BX21" i="2" s="1"/>
  <c r="AW22" i="2"/>
  <c r="AW21" i="2"/>
  <c r="BY21" i="2" s="1"/>
  <c r="AX22" i="2"/>
  <c r="AX21" i="2"/>
  <c r="AV22" i="2"/>
  <c r="AV65" i="2"/>
  <c r="BX65" i="2" s="1"/>
  <c r="AW66" i="2"/>
  <c r="AW65" i="2"/>
  <c r="AX66" i="2"/>
  <c r="AX65" i="2"/>
  <c r="BZ65" i="2" s="1"/>
  <c r="AZ65" i="2"/>
  <c r="BD65" i="2"/>
  <c r="BA66" i="2"/>
  <c r="BE66" i="2"/>
  <c r="AV66" i="2"/>
  <c r="BA65" i="2"/>
  <c r="BE65" i="2"/>
  <c r="BB66" i="2"/>
  <c r="BB65" i="2"/>
  <c r="AY66" i="2"/>
  <c r="BC66" i="2"/>
  <c r="AZ66" i="2"/>
  <c r="BD66" i="2"/>
  <c r="AY65" i="2"/>
  <c r="BC65" i="2"/>
  <c r="AV57" i="2"/>
  <c r="BX57" i="2" s="1"/>
  <c r="AW58" i="2"/>
  <c r="AW57" i="2"/>
  <c r="AX58" i="2"/>
  <c r="AX57" i="2"/>
  <c r="BZ57" i="2" s="1"/>
  <c r="AZ57" i="2"/>
  <c r="BD57" i="2"/>
  <c r="BA58" i="2"/>
  <c r="BE58" i="2"/>
  <c r="BA57" i="2"/>
  <c r="BE57" i="2"/>
  <c r="BB58" i="2"/>
  <c r="BB57" i="2"/>
  <c r="CD57" i="2" s="1"/>
  <c r="AY58" i="2"/>
  <c r="BC58" i="2"/>
  <c r="AV58" i="2"/>
  <c r="AY57" i="2"/>
  <c r="CA57" i="2" s="1"/>
  <c r="BC57" i="2"/>
  <c r="AZ58" i="2"/>
  <c r="BD58" i="2"/>
  <c r="AV49" i="2"/>
  <c r="BX49" i="2" s="1"/>
  <c r="AW50" i="2"/>
  <c r="BA49" i="2"/>
  <c r="BE49" i="2"/>
  <c r="BB50" i="2"/>
  <c r="AW49" i="2"/>
  <c r="AX50" i="2"/>
  <c r="BB49" i="2"/>
  <c r="CD49" i="2" s="1"/>
  <c r="AY50" i="2"/>
  <c r="BC50" i="2"/>
  <c r="AX49" i="2"/>
  <c r="AY49" i="2"/>
  <c r="BC49" i="2"/>
  <c r="AZ50" i="2"/>
  <c r="BD50" i="2"/>
  <c r="BE50" i="2"/>
  <c r="AV50" i="2"/>
  <c r="AZ49" i="2"/>
  <c r="BD49" i="2"/>
  <c r="BA50" i="2"/>
  <c r="AV41" i="2"/>
  <c r="BX41" i="2" s="1"/>
  <c r="AW42" i="2"/>
  <c r="BA41" i="2"/>
  <c r="BE41" i="2"/>
  <c r="BB42" i="2"/>
  <c r="AW41" i="2"/>
  <c r="AX42" i="2"/>
  <c r="BB41" i="2"/>
  <c r="CD41" i="2" s="1"/>
  <c r="AY42" i="2"/>
  <c r="BC42" i="2"/>
  <c r="AX41" i="2"/>
  <c r="AY41" i="2"/>
  <c r="BC41" i="2"/>
  <c r="AZ42" i="2"/>
  <c r="BD42" i="2"/>
  <c r="BD41" i="2"/>
  <c r="BA42" i="2"/>
  <c r="BE42" i="2"/>
  <c r="AV42" i="2"/>
  <c r="AZ41" i="2"/>
  <c r="AX23" i="2"/>
  <c r="BZ23" i="2" s="1"/>
  <c r="AY23" i="2"/>
  <c r="BC23" i="2"/>
  <c r="AZ24" i="2"/>
  <c r="BD24" i="2"/>
  <c r="AV24" i="2"/>
  <c r="AZ23" i="2"/>
  <c r="BD23" i="2"/>
  <c r="BA24" i="2"/>
  <c r="BE24" i="2"/>
  <c r="AV23" i="2"/>
  <c r="BX23" i="2" s="1"/>
  <c r="AW24" i="2"/>
  <c r="BA23" i="2"/>
  <c r="CC23" i="2" s="1"/>
  <c r="BE23" i="2"/>
  <c r="BB24" i="2"/>
  <c r="BB23" i="2"/>
  <c r="CD23" i="2" s="1"/>
  <c r="AW23" i="2"/>
  <c r="BY23" i="2" s="1"/>
  <c r="AY24" i="2"/>
  <c r="AX24" i="2"/>
  <c r="BC24" i="2"/>
  <c r="AX31" i="2"/>
  <c r="BZ31" i="2" s="1"/>
  <c r="AY31" i="2"/>
  <c r="BC31" i="2"/>
  <c r="AZ32" i="2"/>
  <c r="BD32" i="2"/>
  <c r="AV32" i="2"/>
  <c r="AZ31" i="2"/>
  <c r="CB31" i="2" s="1"/>
  <c r="BD31" i="2"/>
  <c r="BA32" i="2"/>
  <c r="BE32" i="2"/>
  <c r="AV31" i="2"/>
  <c r="AW32" i="2"/>
  <c r="BA31" i="2"/>
  <c r="CC31" i="2" s="1"/>
  <c r="BE31" i="2"/>
  <c r="BB32" i="2"/>
  <c r="AX32" i="2"/>
  <c r="BC32" i="2"/>
  <c r="BB31" i="2"/>
  <c r="AW31" i="2"/>
  <c r="AY32" i="2"/>
  <c r="AV53" i="2"/>
  <c r="BX53" i="2" s="1"/>
  <c r="AW54" i="2"/>
  <c r="AW53" i="2"/>
  <c r="AX54" i="2"/>
  <c r="AX53" i="2"/>
  <c r="BZ53" i="2" s="1"/>
  <c r="AV54" i="2"/>
  <c r="AZ53" i="2"/>
  <c r="BD53" i="2"/>
  <c r="BA54" i="2"/>
  <c r="BE54" i="2"/>
  <c r="BA53" i="2"/>
  <c r="BE53" i="2"/>
  <c r="BB54" i="2"/>
  <c r="BB53" i="2"/>
  <c r="AY54" i="2"/>
  <c r="BC54" i="2"/>
  <c r="BD54" i="2"/>
  <c r="AY53" i="2"/>
  <c r="BC53" i="2"/>
  <c r="AZ54" i="2"/>
  <c r="DF35" i="2"/>
  <c r="AX35" i="2"/>
  <c r="AY35" i="2"/>
  <c r="BC35" i="2"/>
  <c r="AZ36" i="2"/>
  <c r="BD36" i="2"/>
  <c r="AV36" i="2"/>
  <c r="AZ35" i="2"/>
  <c r="CB35" i="2" s="1"/>
  <c r="BD35" i="2"/>
  <c r="BA36" i="2"/>
  <c r="BE36" i="2"/>
  <c r="AV35" i="2"/>
  <c r="BX35" i="2" s="1"/>
  <c r="AW36" i="2"/>
  <c r="BA35" i="2"/>
  <c r="BE35" i="2"/>
  <c r="BB36" i="2"/>
  <c r="BB35" i="2"/>
  <c r="CD35" i="2" s="1"/>
  <c r="AW35" i="2"/>
  <c r="AY36" i="2"/>
  <c r="AX36" i="2"/>
  <c r="BC36" i="2"/>
  <c r="AX67" i="2"/>
  <c r="AV68" i="2"/>
  <c r="AV67" i="2"/>
  <c r="BX67" i="2" s="1"/>
  <c r="AW68" i="2"/>
  <c r="BB67" i="2"/>
  <c r="AY68" i="2"/>
  <c r="BC68" i="2"/>
  <c r="AY67" i="2"/>
  <c r="CA67" i="2" s="1"/>
  <c r="BC67" i="2"/>
  <c r="AZ68" i="2"/>
  <c r="BD68" i="2"/>
  <c r="AW67" i="2"/>
  <c r="BY67" i="2" s="1"/>
  <c r="AZ67" i="2"/>
  <c r="BD67" i="2"/>
  <c r="BA68" i="2"/>
  <c r="BE68" i="2"/>
  <c r="AX68" i="2"/>
  <c r="BB68" i="2"/>
  <c r="BA67" i="2"/>
  <c r="BE67" i="2"/>
  <c r="AX43" i="2"/>
  <c r="AY43" i="2"/>
  <c r="BC43" i="2"/>
  <c r="AZ44" i="2"/>
  <c r="BD44" i="2"/>
  <c r="AV44" i="2"/>
  <c r="AZ43" i="2"/>
  <c r="CB43" i="2" s="1"/>
  <c r="BD43" i="2"/>
  <c r="BA44" i="2"/>
  <c r="BE44" i="2"/>
  <c r="AV43" i="2"/>
  <c r="BX43" i="2" s="1"/>
  <c r="AW44" i="2"/>
  <c r="BA43" i="2"/>
  <c r="BE43" i="2"/>
  <c r="BB44" i="2"/>
  <c r="AW43" i="2"/>
  <c r="BY43" i="2" s="1"/>
  <c r="AY44" i="2"/>
  <c r="AX44" i="2"/>
  <c r="BC44" i="2"/>
  <c r="BB43" i="2"/>
  <c r="CD43" i="2" s="1"/>
  <c r="AV29" i="2"/>
  <c r="AW30" i="2"/>
  <c r="BA29" i="2"/>
  <c r="CC29" i="2" s="1"/>
  <c r="BE29" i="2"/>
  <c r="BB30" i="2"/>
  <c r="AW29" i="2"/>
  <c r="AX30" i="2"/>
  <c r="BB29" i="2"/>
  <c r="CD29" i="2" s="1"/>
  <c r="AY30" i="2"/>
  <c r="BC30" i="2"/>
  <c r="AX29" i="2"/>
  <c r="BZ29" i="2" s="1"/>
  <c r="AY29" i="2"/>
  <c r="CA29" i="2" s="1"/>
  <c r="BC29" i="2"/>
  <c r="AZ30" i="2"/>
  <c r="BD30" i="2"/>
  <c r="BA30" i="2"/>
  <c r="BE30" i="2"/>
  <c r="AV30" i="2"/>
  <c r="AZ29" i="2"/>
  <c r="CB29" i="2" s="1"/>
  <c r="BD29" i="2"/>
  <c r="AX63" i="2"/>
  <c r="AV64" i="2"/>
  <c r="AV63" i="2"/>
  <c r="BX63" i="2" s="1"/>
  <c r="AW64" i="2"/>
  <c r="AX64" i="2"/>
  <c r="BB63" i="2"/>
  <c r="AY64" i="2"/>
  <c r="BC64" i="2"/>
  <c r="AY63" i="2"/>
  <c r="BC63" i="2"/>
  <c r="AZ64" i="2"/>
  <c r="BD64" i="2"/>
  <c r="AZ63" i="2"/>
  <c r="BD63" i="2"/>
  <c r="BA64" i="2"/>
  <c r="BE64" i="2"/>
  <c r="AW63" i="2"/>
  <c r="BY63" i="2" s="1"/>
  <c r="BE63" i="2"/>
  <c r="BB64" i="2"/>
  <c r="BA63" i="2"/>
  <c r="CC63" i="2" s="1"/>
  <c r="AX55" i="2"/>
  <c r="AV56" i="2"/>
  <c r="AV55" i="2"/>
  <c r="AW56" i="2"/>
  <c r="BB55" i="2"/>
  <c r="AY56" i="2"/>
  <c r="BC56" i="2"/>
  <c r="AW55" i="2"/>
  <c r="BY55" i="2" s="1"/>
  <c r="AY55" i="2"/>
  <c r="BC55" i="2"/>
  <c r="AZ56" i="2"/>
  <c r="BD56" i="2"/>
  <c r="AX56" i="2"/>
  <c r="AZ55" i="2"/>
  <c r="BD55" i="2"/>
  <c r="BA56" i="2"/>
  <c r="BE56" i="2"/>
  <c r="BA55" i="2"/>
  <c r="BE55" i="2"/>
  <c r="BB56" i="2"/>
  <c r="AX47" i="2"/>
  <c r="AY47" i="2"/>
  <c r="BC47" i="2"/>
  <c r="AZ48" i="2"/>
  <c r="BD48" i="2"/>
  <c r="AV48" i="2"/>
  <c r="AZ47" i="2"/>
  <c r="CB47" i="2" s="1"/>
  <c r="BD47" i="2"/>
  <c r="BA48" i="2"/>
  <c r="BE48" i="2"/>
  <c r="AV47" i="2"/>
  <c r="BX47" i="2" s="1"/>
  <c r="AW48" i="2"/>
  <c r="BA47" i="2"/>
  <c r="BE47" i="2"/>
  <c r="BB48" i="2"/>
  <c r="AX48" i="2"/>
  <c r="BC48" i="2"/>
  <c r="BB47" i="2"/>
  <c r="AW47" i="2"/>
  <c r="BY47" i="2" s="1"/>
  <c r="AY48" i="2"/>
  <c r="DF39" i="2"/>
  <c r="AX39" i="2"/>
  <c r="BZ39" i="2" s="1"/>
  <c r="AY39" i="2"/>
  <c r="CA39" i="2" s="1"/>
  <c r="BC39" i="2"/>
  <c r="AZ40" i="2"/>
  <c r="BD40" i="2"/>
  <c r="AV40" i="2"/>
  <c r="AZ39" i="2"/>
  <c r="CB39" i="2" s="1"/>
  <c r="BD39" i="2"/>
  <c r="BA40" i="2"/>
  <c r="BE40" i="2"/>
  <c r="AV39" i="2"/>
  <c r="BX39" i="2" s="1"/>
  <c r="AW40" i="2"/>
  <c r="BA39" i="2"/>
  <c r="BE39" i="2"/>
  <c r="BB40" i="2"/>
  <c r="BB39" i="2"/>
  <c r="AW39" i="2"/>
  <c r="BY39" i="2" s="1"/>
  <c r="AY40" i="2"/>
  <c r="AX40" i="2"/>
  <c r="BC40" i="2"/>
  <c r="AV25" i="2"/>
  <c r="AW26" i="2"/>
  <c r="BA25" i="2"/>
  <c r="CC25" i="2" s="1"/>
  <c r="BE25" i="2"/>
  <c r="BB26" i="2"/>
  <c r="AW25" i="2"/>
  <c r="BY25" i="2" s="1"/>
  <c r="AX26" i="2"/>
  <c r="BB25" i="2"/>
  <c r="AY26" i="2"/>
  <c r="BC26" i="2"/>
  <c r="AX25" i="2"/>
  <c r="BZ25" i="2" s="1"/>
  <c r="AY25" i="2"/>
  <c r="BC25" i="2"/>
  <c r="AZ26" i="2"/>
  <c r="BD26" i="2"/>
  <c r="BD25" i="2"/>
  <c r="BA26" i="2"/>
  <c r="BE26" i="2"/>
  <c r="AV26" i="2"/>
  <c r="AZ25" i="2"/>
  <c r="AV33" i="2"/>
  <c r="BX33" i="2" s="1"/>
  <c r="AW34" i="2"/>
  <c r="BA33" i="2"/>
  <c r="CC33" i="2" s="1"/>
  <c r="BE33" i="2"/>
  <c r="BB34" i="2"/>
  <c r="AW33" i="2"/>
  <c r="BY33" i="2" s="1"/>
  <c r="AX34" i="2"/>
  <c r="BB33" i="2"/>
  <c r="AY34" i="2"/>
  <c r="BC34" i="2"/>
  <c r="AX33" i="2"/>
  <c r="BZ33" i="2" s="1"/>
  <c r="AY33" i="2"/>
  <c r="BC33" i="2"/>
  <c r="AZ34" i="2"/>
  <c r="BD34" i="2"/>
  <c r="BE34" i="2"/>
  <c r="AV34" i="2"/>
  <c r="AZ33" i="2"/>
  <c r="BD33" i="2"/>
  <c r="BA34" i="2"/>
  <c r="CQ19" i="2"/>
  <c r="AW19" i="2"/>
  <c r="BB20" i="2"/>
  <c r="BE19" i="2"/>
  <c r="BC19" i="2"/>
  <c r="AX19" i="2"/>
  <c r="BZ19" i="2" s="1"/>
  <c r="AY20" i="2"/>
  <c r="BC20" i="2"/>
  <c r="AZ19" i="2"/>
  <c r="BD19" i="2"/>
  <c r="AV19" i="2"/>
  <c r="BX19" i="2" s="1"/>
  <c r="AZ20" i="2"/>
  <c r="BD20" i="2"/>
  <c r="BA19" i="2"/>
  <c r="CC19" i="2" s="1"/>
  <c r="AY19" i="2"/>
  <c r="CA19" i="2" s="1"/>
  <c r="BA20" i="2"/>
  <c r="BE20" i="2"/>
  <c r="BB19" i="2"/>
  <c r="CD19" i="2" s="1"/>
  <c r="AY21" i="2"/>
  <c r="CA21" i="2" s="1"/>
  <c r="BC21" i="2"/>
  <c r="AZ22" i="2"/>
  <c r="BD22" i="2"/>
  <c r="AZ21" i="2"/>
  <c r="CB21" i="2" s="1"/>
  <c r="BD21" i="2"/>
  <c r="BA22" i="2"/>
  <c r="BE22" i="2"/>
  <c r="BA21" i="2"/>
  <c r="CC21" i="2" s="1"/>
  <c r="BE21" i="2"/>
  <c r="BB22" i="2"/>
  <c r="BB21" i="2"/>
  <c r="CD21" i="2" s="1"/>
  <c r="AY22" i="2"/>
  <c r="BC22" i="2"/>
  <c r="AD44" i="2"/>
  <c r="DF43" i="2"/>
  <c r="AD24" i="2"/>
  <c r="CQ23" i="2"/>
  <c r="DC35" i="2"/>
  <c r="AD36" i="2"/>
  <c r="DC67" i="2"/>
  <c r="AD68" i="2"/>
  <c r="DC65" i="2"/>
  <c r="AD66" i="2"/>
  <c r="DC49" i="2"/>
  <c r="AD50" i="2"/>
  <c r="DC53" i="2"/>
  <c r="AD54" i="2"/>
  <c r="DC47" i="2"/>
  <c r="AD48" i="2"/>
  <c r="DC51" i="2"/>
  <c r="AD52" i="2"/>
  <c r="DC61" i="2"/>
  <c r="AD62" i="2"/>
  <c r="DC45" i="2"/>
  <c r="DC59" i="2"/>
  <c r="AD60" i="2"/>
  <c r="DC57" i="2"/>
  <c r="AD58" i="2"/>
  <c r="DC63" i="2"/>
  <c r="AD64" i="2"/>
  <c r="DC55" i="2"/>
  <c r="AD56" i="2"/>
  <c r="DC39" i="2"/>
  <c r="AD40" i="2"/>
  <c r="P38" i="2"/>
  <c r="X38" i="2"/>
  <c r="Q38" i="2"/>
  <c r="Y38" i="2"/>
  <c r="R38" i="2"/>
  <c r="Z38" i="2"/>
  <c r="L38" i="2"/>
  <c r="T38" i="2"/>
  <c r="S38" i="2"/>
  <c r="AA38" i="2"/>
  <c r="AB38" i="2"/>
  <c r="M38" i="2"/>
  <c r="U38" i="2"/>
  <c r="AC38" i="2"/>
  <c r="N38" i="2"/>
  <c r="V38" i="2"/>
  <c r="O38" i="2"/>
  <c r="W38" i="2"/>
  <c r="DC41" i="2"/>
  <c r="DC43" i="2"/>
  <c r="DC31" i="2"/>
  <c r="DF31" i="2"/>
  <c r="DC29" i="2"/>
  <c r="DF29" i="2"/>
  <c r="DC27" i="2"/>
  <c r="DF27" i="2"/>
  <c r="DC21" i="2"/>
  <c r="DF21" i="2"/>
  <c r="DC23" i="2"/>
  <c r="DF23" i="2"/>
  <c r="DC19" i="2"/>
  <c r="DF19" i="2"/>
  <c r="DC25" i="2"/>
  <c r="DF25" i="2"/>
  <c r="F26" i="2"/>
  <c r="DM38" i="2"/>
  <c r="E25" i="3"/>
  <c r="DC33" i="2"/>
  <c r="I34" i="2"/>
  <c r="H33" i="2" s="1"/>
  <c r="DD65" i="2"/>
  <c r="DD49" i="2"/>
  <c r="DD63" i="2"/>
  <c r="DD55" i="2"/>
  <c r="DD47" i="2"/>
  <c r="DD39" i="2"/>
  <c r="DD25" i="2"/>
  <c r="DD33" i="2"/>
  <c r="DD57" i="2"/>
  <c r="DD41" i="2"/>
  <c r="DD23" i="2"/>
  <c r="DD31" i="2"/>
  <c r="DD19" i="2"/>
  <c r="DD61" i="2"/>
  <c r="DD53" i="2"/>
  <c r="DD45" i="2"/>
  <c r="DD35" i="2"/>
  <c r="DD27" i="2"/>
  <c r="DD67" i="2"/>
  <c r="DD59" i="2"/>
  <c r="DD51" i="2"/>
  <c r="DD43" i="2"/>
  <c r="DD21" i="2"/>
  <c r="DK29" i="2"/>
  <c r="DD29" i="2"/>
  <c r="F28" i="2"/>
  <c r="F20" i="2"/>
  <c r="F24" i="2"/>
  <c r="DN59" i="2"/>
  <c r="DR59" i="2"/>
  <c r="DV59" i="2"/>
  <c r="DZ59" i="2"/>
  <c r="ED59" i="2"/>
  <c r="DO59" i="2"/>
  <c r="DT59" i="2"/>
  <c r="DY59" i="2"/>
  <c r="DM59" i="2"/>
  <c r="DS59" i="2"/>
  <c r="EC59" i="2"/>
  <c r="DK59" i="2"/>
  <c r="DP59" i="2"/>
  <c r="DU59" i="2"/>
  <c r="EA59" i="2"/>
  <c r="DL59" i="2"/>
  <c r="DQ59" i="2"/>
  <c r="DW59" i="2"/>
  <c r="EB59" i="2"/>
  <c r="DX59" i="2"/>
  <c r="DN43" i="2"/>
  <c r="DR43" i="2"/>
  <c r="DV43" i="2"/>
  <c r="DZ43" i="2"/>
  <c r="ED43" i="2"/>
  <c r="DK43" i="2"/>
  <c r="DO43" i="2"/>
  <c r="DS43" i="2"/>
  <c r="DW43" i="2"/>
  <c r="EA43" i="2"/>
  <c r="DM43" i="2"/>
  <c r="DU43" i="2"/>
  <c r="EC43" i="2"/>
  <c r="DL43" i="2"/>
  <c r="DX43" i="2"/>
  <c r="DT43" i="2"/>
  <c r="DP43" i="2"/>
  <c r="DY43" i="2"/>
  <c r="DQ43" i="2"/>
  <c r="EB43" i="2"/>
  <c r="DO29" i="2"/>
  <c r="DS29" i="2"/>
  <c r="DW29" i="2"/>
  <c r="EA29" i="2"/>
  <c r="DL29" i="2"/>
  <c r="DP29" i="2"/>
  <c r="DT29" i="2"/>
  <c r="DX29" i="2"/>
  <c r="EB29" i="2"/>
  <c r="DR29" i="2"/>
  <c r="DZ29" i="2"/>
  <c r="DU29" i="2"/>
  <c r="ED29" i="2"/>
  <c r="DM29" i="2"/>
  <c r="DV29" i="2"/>
  <c r="DN29" i="2"/>
  <c r="DY29" i="2"/>
  <c r="DQ29" i="2"/>
  <c r="EC29" i="2"/>
  <c r="DK65" i="2"/>
  <c r="DO65" i="2"/>
  <c r="DS65" i="2"/>
  <c r="DW65" i="2"/>
  <c r="EA65" i="2"/>
  <c r="DN65" i="2"/>
  <c r="DT65" i="2"/>
  <c r="DY65" i="2"/>
  <c r="ED65" i="2"/>
  <c r="DX65" i="2"/>
  <c r="DP65" i="2"/>
  <c r="DU65" i="2"/>
  <c r="DZ65" i="2"/>
  <c r="DL65" i="2"/>
  <c r="DQ65" i="2"/>
  <c r="DV65" i="2"/>
  <c r="EB65" i="2"/>
  <c r="DM65" i="2"/>
  <c r="DR65" i="2"/>
  <c r="EC65" i="2"/>
  <c r="DK57" i="2"/>
  <c r="DO57" i="2"/>
  <c r="DS57" i="2"/>
  <c r="DW57" i="2"/>
  <c r="EA57" i="2"/>
  <c r="DM57" i="2"/>
  <c r="DR57" i="2"/>
  <c r="DX57" i="2"/>
  <c r="EC57" i="2"/>
  <c r="DL57" i="2"/>
  <c r="DQ57" i="2"/>
  <c r="EB57" i="2"/>
  <c r="DN57" i="2"/>
  <c r="DT57" i="2"/>
  <c r="DY57" i="2"/>
  <c r="ED57" i="2"/>
  <c r="DP57" i="2"/>
  <c r="DU57" i="2"/>
  <c r="DZ57" i="2"/>
  <c r="DV57" i="2"/>
  <c r="DN49" i="2"/>
  <c r="DR49" i="2"/>
  <c r="DV49" i="2"/>
  <c r="DZ49" i="2"/>
  <c r="ED49" i="2"/>
  <c r="DK49" i="2"/>
  <c r="DO49" i="2"/>
  <c r="DS49" i="2"/>
  <c r="DW49" i="2"/>
  <c r="EA49" i="2"/>
  <c r="DQ49" i="2"/>
  <c r="DY49" i="2"/>
  <c r="DT49" i="2"/>
  <c r="EC49" i="2"/>
  <c r="DP49" i="2"/>
  <c r="DL49" i="2"/>
  <c r="DU49" i="2"/>
  <c r="DM49" i="2"/>
  <c r="DX49" i="2"/>
  <c r="EB49" i="2"/>
  <c r="I42" i="2"/>
  <c r="DM41" i="2"/>
  <c r="DQ41" i="2"/>
  <c r="DU41" i="2"/>
  <c r="DY41" i="2"/>
  <c r="EC41" i="2"/>
  <c r="DN41" i="2"/>
  <c r="DR41" i="2"/>
  <c r="DV41" i="2"/>
  <c r="DZ41" i="2"/>
  <c r="ED41" i="2"/>
  <c r="DL41" i="2"/>
  <c r="DT41" i="2"/>
  <c r="EB41" i="2"/>
  <c r="DO41" i="2"/>
  <c r="DX41" i="2"/>
  <c r="DP41" i="2"/>
  <c r="EA41" i="2"/>
  <c r="DS41" i="2"/>
  <c r="DK41" i="2"/>
  <c r="DW41" i="2"/>
  <c r="DN31" i="2"/>
  <c r="DR31" i="2"/>
  <c r="DV31" i="2"/>
  <c r="DZ31" i="2"/>
  <c r="ED31" i="2"/>
  <c r="DK31" i="2"/>
  <c r="DO31" i="2"/>
  <c r="DS31" i="2"/>
  <c r="DW31" i="2"/>
  <c r="EA31" i="2"/>
  <c r="DM31" i="2"/>
  <c r="DU31" i="2"/>
  <c r="EC31" i="2"/>
  <c r="DT31" i="2"/>
  <c r="DL31" i="2"/>
  <c r="DX31" i="2"/>
  <c r="DP31" i="2"/>
  <c r="DY31" i="2"/>
  <c r="DQ31" i="2"/>
  <c r="EB31" i="2"/>
  <c r="DN67" i="2"/>
  <c r="DR67" i="2"/>
  <c r="DV67" i="2"/>
  <c r="DZ67" i="2"/>
  <c r="ED67" i="2"/>
  <c r="DK67" i="2"/>
  <c r="DP67" i="2"/>
  <c r="DU67" i="2"/>
  <c r="EA67" i="2"/>
  <c r="DY67" i="2"/>
  <c r="DL67" i="2"/>
  <c r="DQ67" i="2"/>
  <c r="DW67" i="2"/>
  <c r="EB67" i="2"/>
  <c r="DM67" i="2"/>
  <c r="DS67" i="2"/>
  <c r="DX67" i="2"/>
  <c r="EC67" i="2"/>
  <c r="DO67" i="2"/>
  <c r="DT67" i="2"/>
  <c r="DM51" i="2"/>
  <c r="DQ51" i="2"/>
  <c r="DU51" i="2"/>
  <c r="DY51" i="2"/>
  <c r="EC51" i="2"/>
  <c r="DN51" i="2"/>
  <c r="DR51" i="2"/>
  <c r="DV51" i="2"/>
  <c r="DZ51" i="2"/>
  <c r="ED51" i="2"/>
  <c r="DP51" i="2"/>
  <c r="DX51" i="2"/>
  <c r="DO51" i="2"/>
  <c r="EA51" i="2"/>
  <c r="DL51" i="2"/>
  <c r="DS51" i="2"/>
  <c r="EB51" i="2"/>
  <c r="DK51" i="2"/>
  <c r="DT51" i="2"/>
  <c r="DW51" i="2"/>
  <c r="DL63" i="2"/>
  <c r="DP63" i="2"/>
  <c r="DT63" i="2"/>
  <c r="DX63" i="2"/>
  <c r="EB63" i="2"/>
  <c r="DM63" i="2"/>
  <c r="DR63" i="2"/>
  <c r="DW63" i="2"/>
  <c r="EC63" i="2"/>
  <c r="DV63" i="2"/>
  <c r="DN63" i="2"/>
  <c r="DS63" i="2"/>
  <c r="DY63" i="2"/>
  <c r="ED63" i="2"/>
  <c r="DO63" i="2"/>
  <c r="DU63" i="2"/>
  <c r="DZ63" i="2"/>
  <c r="DK63" i="2"/>
  <c r="DQ63" i="2"/>
  <c r="EA63" i="2"/>
  <c r="DK55" i="2"/>
  <c r="DO55" i="2"/>
  <c r="DS55" i="2"/>
  <c r="DW55" i="2"/>
  <c r="DL55" i="2"/>
  <c r="DP55" i="2"/>
  <c r="DT55" i="2"/>
  <c r="DX55" i="2"/>
  <c r="DN55" i="2"/>
  <c r="DV55" i="2"/>
  <c r="EB55" i="2"/>
  <c r="DR55" i="2"/>
  <c r="EA55" i="2"/>
  <c r="DZ55" i="2"/>
  <c r="DU55" i="2"/>
  <c r="EC55" i="2"/>
  <c r="DM55" i="2"/>
  <c r="DY55" i="2"/>
  <c r="ED55" i="2"/>
  <c r="DQ55" i="2"/>
  <c r="DL47" i="2"/>
  <c r="DP47" i="2"/>
  <c r="DT47" i="2"/>
  <c r="DX47" i="2"/>
  <c r="EB47" i="2"/>
  <c r="DM47" i="2"/>
  <c r="DQ47" i="2"/>
  <c r="DU47" i="2"/>
  <c r="DY47" i="2"/>
  <c r="EC47" i="2"/>
  <c r="DO47" i="2"/>
  <c r="DW47" i="2"/>
  <c r="DS47" i="2"/>
  <c r="ED47" i="2"/>
  <c r="DR47" i="2"/>
  <c r="DK47" i="2"/>
  <c r="DV47" i="2"/>
  <c r="DN47" i="2"/>
  <c r="DZ47" i="2"/>
  <c r="EA47" i="2"/>
  <c r="DK39" i="2"/>
  <c r="DO39" i="2"/>
  <c r="DS39" i="2"/>
  <c r="DW39" i="2"/>
  <c r="EA39" i="2"/>
  <c r="DL39" i="2"/>
  <c r="DP39" i="2"/>
  <c r="DT39" i="2"/>
  <c r="DX39" i="2"/>
  <c r="EB39" i="2"/>
  <c r="DR39" i="2"/>
  <c r="DZ39" i="2"/>
  <c r="DN39" i="2"/>
  <c r="DY39" i="2"/>
  <c r="DQ39" i="2"/>
  <c r="EC39" i="2"/>
  <c r="DU39" i="2"/>
  <c r="ED39" i="2"/>
  <c r="DM39" i="2"/>
  <c r="DV39" i="2"/>
  <c r="DL33" i="2"/>
  <c r="DP33" i="2"/>
  <c r="DT33" i="2"/>
  <c r="DX33" i="2"/>
  <c r="EB33" i="2"/>
  <c r="DM33" i="2"/>
  <c r="DQ33" i="2"/>
  <c r="DU33" i="2"/>
  <c r="DY33" i="2"/>
  <c r="EC33" i="2"/>
  <c r="DO33" i="2"/>
  <c r="DW33" i="2"/>
  <c r="DS33" i="2"/>
  <c r="ED33" i="2"/>
  <c r="DK33" i="2"/>
  <c r="DV33" i="2"/>
  <c r="DN33" i="2"/>
  <c r="DZ33" i="2"/>
  <c r="DR33" i="2"/>
  <c r="EA33" i="2"/>
  <c r="F30" i="2"/>
  <c r="F22" i="2"/>
  <c r="DM61" i="2"/>
  <c r="DQ61" i="2"/>
  <c r="DU61" i="2"/>
  <c r="DY61" i="2"/>
  <c r="EC61" i="2"/>
  <c r="DK61" i="2"/>
  <c r="DP61" i="2"/>
  <c r="DV61" i="2"/>
  <c r="EA61" i="2"/>
  <c r="DO61" i="2"/>
  <c r="DT61" i="2"/>
  <c r="DL61" i="2"/>
  <c r="DR61" i="2"/>
  <c r="DW61" i="2"/>
  <c r="EB61" i="2"/>
  <c r="DN61" i="2"/>
  <c r="DS61" i="2"/>
  <c r="DX61" i="2"/>
  <c r="ED61" i="2"/>
  <c r="DZ61" i="2"/>
  <c r="DN53" i="2"/>
  <c r="DR53" i="2"/>
  <c r="DV53" i="2"/>
  <c r="DZ53" i="2"/>
  <c r="ED53" i="2"/>
  <c r="DK53" i="2"/>
  <c r="DO53" i="2"/>
  <c r="DS53" i="2"/>
  <c r="DW53" i="2"/>
  <c r="EA53" i="2"/>
  <c r="DM53" i="2"/>
  <c r="DU53" i="2"/>
  <c r="EC53" i="2"/>
  <c r="DT53" i="2"/>
  <c r="EB53" i="2"/>
  <c r="DL53" i="2"/>
  <c r="DX53" i="2"/>
  <c r="DP53" i="2"/>
  <c r="DY53" i="2"/>
  <c r="DQ53" i="2"/>
  <c r="DM45" i="2"/>
  <c r="DQ45" i="2"/>
  <c r="DU45" i="2"/>
  <c r="DY45" i="2"/>
  <c r="EC45" i="2"/>
  <c r="DN45" i="2"/>
  <c r="DR45" i="2"/>
  <c r="DV45" i="2"/>
  <c r="DZ45" i="2"/>
  <c r="ED45" i="2"/>
  <c r="DL45" i="2"/>
  <c r="DT45" i="2"/>
  <c r="EB45" i="2"/>
  <c r="DS45" i="2"/>
  <c r="DP45" i="2"/>
  <c r="DK45" i="2"/>
  <c r="DW45" i="2"/>
  <c r="DO45" i="2"/>
  <c r="DX45" i="2"/>
  <c r="EA45" i="2"/>
  <c r="DM35" i="2"/>
  <c r="DQ35" i="2"/>
  <c r="DU35" i="2"/>
  <c r="DY35" i="2"/>
  <c r="EC35" i="2"/>
  <c r="DN35" i="2"/>
  <c r="DR35" i="2"/>
  <c r="DV35" i="2"/>
  <c r="DZ35" i="2"/>
  <c r="ED35" i="2"/>
  <c r="DP35" i="2"/>
  <c r="DX35" i="2"/>
  <c r="DS35" i="2"/>
  <c r="EB35" i="2"/>
  <c r="DK35" i="2"/>
  <c r="DT35" i="2"/>
  <c r="DL35" i="2"/>
  <c r="DW35" i="2"/>
  <c r="DO35" i="2"/>
  <c r="EA35" i="2"/>
  <c r="DL27" i="2"/>
  <c r="DP27" i="2"/>
  <c r="DT27" i="2"/>
  <c r="DX27" i="2"/>
  <c r="EB27" i="2"/>
  <c r="DM27" i="2"/>
  <c r="DQ27" i="2"/>
  <c r="DU27" i="2"/>
  <c r="DY27" i="2"/>
  <c r="EC27" i="2"/>
  <c r="DK27" i="2"/>
  <c r="DS27" i="2"/>
  <c r="EA27" i="2"/>
  <c r="DN27" i="2"/>
  <c r="DW27" i="2"/>
  <c r="DO27" i="2"/>
  <c r="DZ27" i="2"/>
  <c r="DR27" i="2"/>
  <c r="ED27" i="2"/>
  <c r="DV27" i="2"/>
  <c r="DN25" i="2"/>
  <c r="DR25" i="2"/>
  <c r="DV25" i="2"/>
  <c r="DZ25" i="2"/>
  <c r="ED25" i="2"/>
  <c r="DK25" i="2"/>
  <c r="DO25" i="2"/>
  <c r="DS25" i="2"/>
  <c r="DW25" i="2"/>
  <c r="EA25" i="2"/>
  <c r="DM25" i="2"/>
  <c r="DQ25" i="2"/>
  <c r="DU25" i="2"/>
  <c r="DY25" i="2"/>
  <c r="EC25" i="2"/>
  <c r="DL25" i="2"/>
  <c r="DP25" i="2"/>
  <c r="DT25" i="2"/>
  <c r="DX25" i="2"/>
  <c r="EB25" i="2"/>
  <c r="DM23" i="2"/>
  <c r="DQ23" i="2"/>
  <c r="DU23" i="2"/>
  <c r="DY23" i="2"/>
  <c r="EC23" i="2"/>
  <c r="DN23" i="2"/>
  <c r="DR23" i="2"/>
  <c r="DV23" i="2"/>
  <c r="DZ23" i="2"/>
  <c r="ED23" i="2"/>
  <c r="DK23" i="2"/>
  <c r="DO23" i="2"/>
  <c r="DS23" i="2"/>
  <c r="DW23" i="2"/>
  <c r="EA23" i="2"/>
  <c r="DL23" i="2"/>
  <c r="DP23" i="2"/>
  <c r="DT23" i="2"/>
  <c r="DX23" i="2"/>
  <c r="EB23" i="2"/>
  <c r="DN21" i="2"/>
  <c r="DL21" i="2"/>
  <c r="DT21" i="2"/>
  <c r="DX21" i="2"/>
  <c r="EB21" i="2"/>
  <c r="DO21" i="2"/>
  <c r="DQ21" i="2"/>
  <c r="DU21" i="2"/>
  <c r="DY21" i="2"/>
  <c r="EC21" i="2"/>
  <c r="DP21" i="2"/>
  <c r="DR21" i="2"/>
  <c r="DV21" i="2"/>
  <c r="DZ21" i="2"/>
  <c r="ED21" i="2"/>
  <c r="DM21" i="2"/>
  <c r="DK21" i="2"/>
  <c r="DS21" i="2"/>
  <c r="DW21" i="2"/>
  <c r="EA21" i="2"/>
  <c r="EJ30" i="2"/>
  <c r="EL30" i="2"/>
  <c r="EI30" i="2"/>
  <c r="EM30" i="2"/>
  <c r="CN21" i="2"/>
  <c r="CO21" i="2"/>
  <c r="H22" i="2"/>
  <c r="CN41" i="2"/>
  <c r="CO41" i="2"/>
  <c r="H41" i="2"/>
  <c r="H42" i="2"/>
  <c r="CN23" i="2"/>
  <c r="CO23" i="2"/>
  <c r="H24" i="2"/>
  <c r="CO31" i="2"/>
  <c r="CN31" i="2"/>
  <c r="H32" i="2"/>
  <c r="CO43" i="2"/>
  <c r="CN43" i="2"/>
  <c r="H44" i="2"/>
  <c r="CN29" i="2"/>
  <c r="CO29" i="2"/>
  <c r="H30" i="2"/>
  <c r="CO39" i="2"/>
  <c r="CN39" i="2"/>
  <c r="H40" i="2"/>
  <c r="CN25" i="2"/>
  <c r="CO25" i="2"/>
  <c r="H26" i="2"/>
  <c r="CN33" i="2"/>
  <c r="CO33" i="2"/>
  <c r="H34" i="2"/>
  <c r="EU30" i="2"/>
  <c r="EQ30" i="2"/>
  <c r="CN35" i="2"/>
  <c r="CO35" i="2"/>
  <c r="H36" i="2"/>
  <c r="CO27" i="2"/>
  <c r="CN27" i="2"/>
  <c r="H28" i="2"/>
  <c r="ES30" i="2"/>
  <c r="EV30" i="2"/>
  <c r="CN53" i="2"/>
  <c r="CO53" i="2"/>
  <c r="H54" i="2"/>
  <c r="CO67" i="2"/>
  <c r="CN67" i="2"/>
  <c r="H68" i="2"/>
  <c r="CO59" i="2"/>
  <c r="CN59" i="2"/>
  <c r="H60" i="2"/>
  <c r="CO51" i="2"/>
  <c r="CN51" i="2"/>
  <c r="H52" i="2"/>
  <c r="CN45" i="2"/>
  <c r="CO45" i="2"/>
  <c r="H46" i="2"/>
  <c r="CN65" i="2"/>
  <c r="CO65" i="2"/>
  <c r="H66" i="2"/>
  <c r="CN57" i="2"/>
  <c r="CO57" i="2"/>
  <c r="H58" i="2"/>
  <c r="CN49" i="2"/>
  <c r="CO49" i="2"/>
  <c r="H50" i="2"/>
  <c r="CN61" i="2"/>
  <c r="CO61" i="2"/>
  <c r="H62" i="2"/>
  <c r="CO63" i="2"/>
  <c r="CN63" i="2"/>
  <c r="H64" i="2"/>
  <c r="CN55" i="2"/>
  <c r="CO55" i="2"/>
  <c r="H56" i="2"/>
  <c r="CO47" i="2"/>
  <c r="CN47" i="2"/>
  <c r="H48" i="2"/>
  <c r="CO19" i="2"/>
  <c r="CN19" i="2"/>
  <c r="H20" i="2"/>
  <c r="BU3" i="1" s="1"/>
  <c r="EW30" i="2"/>
  <c r="I50" i="2"/>
  <c r="H49" i="2" s="1"/>
  <c r="I64" i="2"/>
  <c r="H63" i="2" s="1"/>
  <c r="I56" i="2"/>
  <c r="H55" i="2" s="1"/>
  <c r="I48" i="2"/>
  <c r="H47" i="2" s="1"/>
  <c r="EZ30" i="2"/>
  <c r="I58" i="2"/>
  <c r="H57" i="2" s="1"/>
  <c r="I62" i="2"/>
  <c r="H61" i="2" s="1"/>
  <c r="I54" i="2"/>
  <c r="H53" i="2" s="1"/>
  <c r="I46" i="2"/>
  <c r="H45" i="2" s="1"/>
  <c r="I66" i="2"/>
  <c r="H65" i="2" s="1"/>
  <c r="I68" i="2"/>
  <c r="H67" i="2" s="1"/>
  <c r="I60" i="2"/>
  <c r="H59" i="2" s="1"/>
  <c r="I52" i="2"/>
  <c r="H51" i="2" s="1"/>
  <c r="I44" i="2"/>
  <c r="H43" i="2" s="1"/>
  <c r="L44" i="2" s="1"/>
  <c r="I40" i="2"/>
  <c r="H39" i="2" s="1"/>
  <c r="I36" i="2"/>
  <c r="H35" i="2" s="1"/>
  <c r="I32" i="2"/>
  <c r="H31" i="2" s="1"/>
  <c r="I30" i="2"/>
  <c r="H29" i="2" s="1"/>
  <c r="I28" i="2"/>
  <c r="H27" i="2" s="1"/>
  <c r="I20" i="2"/>
  <c r="H19" i="2" s="1"/>
  <c r="M20" i="2" s="1"/>
  <c r="I22" i="2"/>
  <c r="H21" i="2" s="1"/>
  <c r="I24" i="2"/>
  <c r="H23" i="2" s="1"/>
  <c r="I26" i="2"/>
  <c r="H25" i="2" s="1"/>
  <c r="ER30" i="2"/>
  <c r="EO30" i="2"/>
  <c r="EY30" i="2"/>
  <c r="EH30" i="2"/>
  <c r="EX30" i="2"/>
  <c r="EK30" i="2"/>
  <c r="ET30" i="2"/>
  <c r="EN30" i="2"/>
  <c r="EP30" i="2"/>
  <c r="EV31" i="2"/>
  <c r="EW31" i="2"/>
  <c r="EP31" i="2"/>
  <c r="EI31" i="2"/>
  <c r="EK31" i="2"/>
  <c r="ET31" i="2"/>
  <c r="EZ31" i="2"/>
  <c r="EL31" i="2"/>
  <c r="ER31" i="2"/>
  <c r="EQ31" i="2"/>
  <c r="EJ31" i="2"/>
  <c r="EH31" i="2"/>
  <c r="EU31" i="2"/>
  <c r="EN31" i="2"/>
  <c r="EO31" i="2"/>
  <c r="EY31" i="2"/>
  <c r="EX31" i="2"/>
  <c r="ES31" i="2"/>
  <c r="EM31" i="2"/>
  <c r="DM19" i="2"/>
  <c r="DV19" i="2"/>
  <c r="ED19" i="2"/>
  <c r="DN19" i="2"/>
  <c r="DW19" i="2"/>
  <c r="DK19" i="2"/>
  <c r="DY19" i="2"/>
  <c r="DO19" i="2"/>
  <c r="DX19" i="2"/>
  <c r="DQ19" i="2"/>
  <c r="DZ19" i="2"/>
  <c r="DS19" i="2"/>
  <c r="EA19" i="2"/>
  <c r="DR19" i="2"/>
  <c r="EC19" i="2"/>
  <c r="DU19" i="2"/>
  <c r="EB19" i="2"/>
  <c r="DP19" i="2"/>
  <c r="DL19" i="2"/>
  <c r="DT19" i="2"/>
  <c r="CQ25" i="2"/>
  <c r="CQ63" i="2"/>
  <c r="CQ47" i="2"/>
  <c r="BX61" i="2"/>
  <c r="CQ61" i="2"/>
  <c r="CQ45" i="2"/>
  <c r="BX45" i="2"/>
  <c r="CQ65" i="2"/>
  <c r="CQ49" i="2"/>
  <c r="CQ59" i="2"/>
  <c r="CQ43" i="2"/>
  <c r="CQ57" i="2"/>
  <c r="CQ55" i="2"/>
  <c r="BX55" i="2"/>
  <c r="CQ53" i="2"/>
  <c r="CQ67" i="2"/>
  <c r="CQ51" i="2"/>
  <c r="CQ21" i="2"/>
  <c r="CQ27" i="2"/>
  <c r="BX31" i="2"/>
  <c r="CQ31" i="2"/>
  <c r="CQ33" i="2"/>
  <c r="CQ35" i="2"/>
  <c r="CQ41" i="2"/>
  <c r="CQ39" i="2"/>
  <c r="CQ29" i="2"/>
  <c r="BX29" i="2"/>
  <c r="AV20" i="2"/>
  <c r="BX25" i="2"/>
  <c r="AX20" i="2"/>
  <c r="AW20" i="2"/>
  <c r="CG63" i="2"/>
  <c r="CJ63" i="2"/>
  <c r="CI63" i="2"/>
  <c r="CH63" i="2"/>
  <c r="BZ63" i="2"/>
  <c r="CD63" i="2"/>
  <c r="CA63" i="2"/>
  <c r="CB63" i="2"/>
  <c r="CG39" i="2"/>
  <c r="CD39" i="2"/>
  <c r="CI39" i="2"/>
  <c r="CJ39" i="2"/>
  <c r="CH39" i="2"/>
  <c r="CC39" i="2"/>
  <c r="CG33" i="2"/>
  <c r="CD33" i="2"/>
  <c r="CI33" i="2"/>
  <c r="CB33" i="2"/>
  <c r="CJ33" i="2"/>
  <c r="CA33" i="2"/>
  <c r="CH33" i="2"/>
  <c r="CG19" i="2"/>
  <c r="CI19" i="2"/>
  <c r="CJ19" i="2"/>
  <c r="BY19" i="2"/>
  <c r="CH19" i="2"/>
  <c r="CB19" i="2"/>
  <c r="CG61" i="2"/>
  <c r="CJ61" i="2"/>
  <c r="CI61" i="2"/>
  <c r="CH61" i="2"/>
  <c r="BY61" i="2"/>
  <c r="CC61" i="2"/>
  <c r="BZ61" i="2"/>
  <c r="CD61" i="2"/>
  <c r="CB61" i="2"/>
  <c r="CG53" i="2"/>
  <c r="CI53" i="2"/>
  <c r="CB53" i="2"/>
  <c r="CJ53" i="2"/>
  <c r="CD53" i="2"/>
  <c r="CA53" i="2"/>
  <c r="BY53" i="2"/>
  <c r="CC53" i="2"/>
  <c r="CH53" i="2"/>
  <c r="CG45" i="2"/>
  <c r="CI45" i="2"/>
  <c r="CJ45" i="2"/>
  <c r="BY45" i="2"/>
  <c r="CH45" i="2"/>
  <c r="CG35" i="2"/>
  <c r="CI35" i="2"/>
  <c r="BZ35" i="2"/>
  <c r="BY35" i="2"/>
  <c r="CA35" i="2"/>
  <c r="CJ35" i="2"/>
  <c r="CC35" i="2"/>
  <c r="CH35" i="2"/>
  <c r="CG27" i="2"/>
  <c r="CI27" i="2"/>
  <c r="BZ27" i="2"/>
  <c r="CD27" i="2"/>
  <c r="CJ27" i="2"/>
  <c r="CC27" i="2"/>
  <c r="CH27" i="2"/>
  <c r="CG47" i="2"/>
  <c r="CI47" i="2"/>
  <c r="CJ47" i="2"/>
  <c r="CC47" i="2"/>
  <c r="CH47" i="2"/>
  <c r="BZ47" i="2"/>
  <c r="CD47" i="2"/>
  <c r="CA47" i="2"/>
  <c r="CG67" i="2"/>
  <c r="CJ67" i="2"/>
  <c r="CI67" i="2"/>
  <c r="CH67" i="2"/>
  <c r="BZ67" i="2"/>
  <c r="CD67" i="2"/>
  <c r="CB67" i="2"/>
  <c r="CC67" i="2"/>
  <c r="CG59" i="2"/>
  <c r="CJ59" i="2"/>
  <c r="CI59" i="2"/>
  <c r="CH59" i="2"/>
  <c r="BY59" i="2"/>
  <c r="BZ59" i="2"/>
  <c r="CD59" i="2"/>
  <c r="CB59" i="2"/>
  <c r="CG51" i="2"/>
  <c r="CI51" i="2"/>
  <c r="CJ51" i="2"/>
  <c r="BZ51" i="2"/>
  <c r="CD51" i="2"/>
  <c r="CH51" i="2"/>
  <c r="CA51" i="2"/>
  <c r="CB51" i="2"/>
  <c r="BY51" i="2"/>
  <c r="CG43" i="2"/>
  <c r="CI43" i="2"/>
  <c r="CJ43" i="2"/>
  <c r="CC43" i="2"/>
  <c r="CH43" i="2"/>
  <c r="BZ43" i="2"/>
  <c r="CA43" i="2"/>
  <c r="CG21" i="2"/>
  <c r="CI21" i="2"/>
  <c r="CJ21" i="2"/>
  <c r="CH21" i="2"/>
  <c r="BZ21" i="2"/>
  <c r="CG29" i="2"/>
  <c r="CI29" i="2"/>
  <c r="CJ29" i="2"/>
  <c r="CH29" i="2"/>
  <c r="BY29" i="2"/>
  <c r="CG55" i="2"/>
  <c r="CI55" i="2"/>
  <c r="CJ55" i="2"/>
  <c r="CB55" i="2"/>
  <c r="CH55" i="2"/>
  <c r="BZ55" i="2"/>
  <c r="CD55" i="2"/>
  <c r="CA55" i="2"/>
  <c r="CC55" i="2"/>
  <c r="CG65" i="2"/>
  <c r="CJ65" i="2"/>
  <c r="CI65" i="2"/>
  <c r="CH65" i="2"/>
  <c r="CD65" i="2"/>
  <c r="CC65" i="2"/>
  <c r="CA65" i="2"/>
  <c r="CB65" i="2"/>
  <c r="BY65" i="2"/>
  <c r="CG57" i="2"/>
  <c r="CI57" i="2"/>
  <c r="CJ57" i="2"/>
  <c r="BY57" i="2"/>
  <c r="CC57" i="2"/>
  <c r="CH57" i="2"/>
  <c r="CB57" i="2"/>
  <c r="CG49" i="2"/>
  <c r="CI49" i="2"/>
  <c r="BY49" i="2"/>
  <c r="CC49" i="2"/>
  <c r="BZ49" i="2"/>
  <c r="CJ49" i="2"/>
  <c r="CA49" i="2"/>
  <c r="CH49" i="2"/>
  <c r="CB49" i="2"/>
  <c r="CG41" i="2"/>
  <c r="CB41" i="2"/>
  <c r="CI41" i="2"/>
  <c r="BZ41" i="2"/>
  <c r="BY41" i="2"/>
  <c r="CA41" i="2"/>
  <c r="CJ41" i="2"/>
  <c r="CC41" i="2"/>
  <c r="CH41" i="2"/>
  <c r="CG31" i="2"/>
  <c r="CI31" i="2"/>
  <c r="CD31" i="2"/>
  <c r="CJ31" i="2"/>
  <c r="BY31" i="2"/>
  <c r="CH31" i="2"/>
  <c r="CA31" i="2"/>
  <c r="CH23" i="2"/>
  <c r="CA23" i="2"/>
  <c r="CG23" i="2"/>
  <c r="CB23" i="2"/>
  <c r="CI23" i="2"/>
  <c r="CJ23" i="2"/>
  <c r="CH25" i="2"/>
  <c r="CI25" i="2"/>
  <c r="CG25" i="2"/>
  <c r="CD25" i="2"/>
  <c r="CJ25" i="2"/>
  <c r="CA25" i="2"/>
  <c r="CB25" i="2"/>
  <c r="BX37" i="2"/>
  <c r="CB37" i="2"/>
  <c r="BY37" i="2"/>
  <c r="CC37" i="2"/>
  <c r="CD37" i="2"/>
  <c r="BZ37" i="2"/>
  <c r="CA37" i="2"/>
  <c r="G21" i="2"/>
  <c r="BX123" i="1"/>
  <c r="BY123" i="1" s="1"/>
  <c r="BS67" i="2"/>
  <c r="M44" i="2"/>
  <c r="Q14" i="2" a="1"/>
  <c r="J44" i="2" l="1"/>
  <c r="Q14" i="2"/>
  <c r="K44" i="2"/>
  <c r="N44" i="2"/>
  <c r="M48" i="2"/>
  <c r="U48" i="2"/>
  <c r="AC48" i="2"/>
  <c r="N48" i="2"/>
  <c r="V48" i="2"/>
  <c r="O48" i="2"/>
  <c r="W48" i="2"/>
  <c r="P48" i="2"/>
  <c r="X48" i="2"/>
  <c r="Q48" i="2"/>
  <c r="Y48" i="2"/>
  <c r="J48" i="2"/>
  <c r="R48" i="2"/>
  <c r="Z48" i="2"/>
  <c r="K48" i="2"/>
  <c r="S48" i="2"/>
  <c r="AA48" i="2"/>
  <c r="L48" i="2"/>
  <c r="T48" i="2"/>
  <c r="AB48" i="2"/>
  <c r="R34" i="2"/>
  <c r="Z34" i="2"/>
  <c r="S34" i="2"/>
  <c r="AA34" i="2"/>
  <c r="L34" i="2"/>
  <c r="T34" i="2"/>
  <c r="AB34" i="2"/>
  <c r="N34" i="2"/>
  <c r="M34" i="2"/>
  <c r="U34" i="2"/>
  <c r="AC34" i="2"/>
  <c r="V34" i="2"/>
  <c r="O34" i="2"/>
  <c r="W34" i="2"/>
  <c r="P34" i="2"/>
  <c r="X34" i="2"/>
  <c r="Q34" i="2"/>
  <c r="Y34" i="2"/>
  <c r="L30" i="2"/>
  <c r="T30" i="2"/>
  <c r="AB30" i="2"/>
  <c r="M30" i="2"/>
  <c r="U30" i="2"/>
  <c r="AC30" i="2"/>
  <c r="N30" i="2"/>
  <c r="V30" i="2"/>
  <c r="X30" i="2"/>
  <c r="O30" i="2"/>
  <c r="W30" i="2"/>
  <c r="P30" i="2"/>
  <c r="Q30" i="2"/>
  <c r="Y30" i="2"/>
  <c r="R30" i="2"/>
  <c r="Z30" i="2"/>
  <c r="K30" i="2"/>
  <c r="S30" i="2"/>
  <c r="AA30" i="2"/>
  <c r="P66" i="2"/>
  <c r="X66" i="2"/>
  <c r="Q66" i="2"/>
  <c r="Y66" i="2"/>
  <c r="J66" i="2"/>
  <c r="R66" i="2"/>
  <c r="Z66" i="2"/>
  <c r="T66" i="2"/>
  <c r="K66" i="2"/>
  <c r="S66" i="2"/>
  <c r="AA66" i="2"/>
  <c r="L66" i="2"/>
  <c r="M66" i="2"/>
  <c r="U66" i="2"/>
  <c r="AC66" i="2"/>
  <c r="N66" i="2"/>
  <c r="V66" i="2"/>
  <c r="O66" i="2"/>
  <c r="W66" i="2"/>
  <c r="AB66" i="2"/>
  <c r="M64" i="2"/>
  <c r="U64" i="2"/>
  <c r="AC64" i="2"/>
  <c r="N64" i="2"/>
  <c r="V64" i="2"/>
  <c r="O64" i="2"/>
  <c r="W64" i="2"/>
  <c r="Y64" i="2"/>
  <c r="P64" i="2"/>
  <c r="X64" i="2"/>
  <c r="Q64" i="2"/>
  <c r="J64" i="2"/>
  <c r="R64" i="2"/>
  <c r="Z64" i="2"/>
  <c r="K64" i="2"/>
  <c r="S64" i="2"/>
  <c r="AA64" i="2"/>
  <c r="L64" i="2"/>
  <c r="T64" i="2"/>
  <c r="AB64" i="2"/>
  <c r="K68" i="2"/>
  <c r="S68" i="2"/>
  <c r="AA68" i="2"/>
  <c r="L68" i="2"/>
  <c r="T68" i="2"/>
  <c r="AB68" i="2"/>
  <c r="M68" i="2"/>
  <c r="U68" i="2"/>
  <c r="AC68" i="2"/>
  <c r="N68" i="2"/>
  <c r="V68" i="2"/>
  <c r="O68" i="2"/>
  <c r="P68" i="2"/>
  <c r="X68" i="2"/>
  <c r="Q68" i="2"/>
  <c r="Y68" i="2"/>
  <c r="J68" i="2"/>
  <c r="R68" i="2"/>
  <c r="Z68" i="2"/>
  <c r="W68" i="2"/>
  <c r="E22" i="3"/>
  <c r="O32" i="2"/>
  <c r="W32" i="2"/>
  <c r="P32" i="2"/>
  <c r="X32" i="2"/>
  <c r="Q32" i="2"/>
  <c r="Y32" i="2"/>
  <c r="S32" i="2"/>
  <c r="R32" i="2"/>
  <c r="Z32" i="2"/>
  <c r="AA32" i="2"/>
  <c r="L32" i="2"/>
  <c r="T32" i="2"/>
  <c r="AB32" i="2"/>
  <c r="U32" i="2"/>
  <c r="AC32" i="2"/>
  <c r="N32" i="2"/>
  <c r="V32" i="2"/>
  <c r="R46" i="2"/>
  <c r="Z46" i="2"/>
  <c r="K46" i="2"/>
  <c r="S46" i="2"/>
  <c r="AA46" i="2"/>
  <c r="L46" i="2"/>
  <c r="T46" i="2"/>
  <c r="AB46" i="2"/>
  <c r="N46" i="2"/>
  <c r="M46" i="2"/>
  <c r="U46" i="2"/>
  <c r="AC46" i="2"/>
  <c r="V46" i="2"/>
  <c r="O46" i="2"/>
  <c r="W46" i="2"/>
  <c r="P46" i="2"/>
  <c r="X46" i="2"/>
  <c r="Q46" i="2"/>
  <c r="Y46" i="2"/>
  <c r="P50" i="2"/>
  <c r="X50" i="2"/>
  <c r="Q50" i="2"/>
  <c r="Y50" i="2"/>
  <c r="J50" i="2"/>
  <c r="R50" i="2"/>
  <c r="Z50" i="2"/>
  <c r="L50" i="2"/>
  <c r="AB50" i="2"/>
  <c r="K50" i="2"/>
  <c r="S50" i="2"/>
  <c r="AA50" i="2"/>
  <c r="T50" i="2"/>
  <c r="M50" i="2"/>
  <c r="U50" i="2"/>
  <c r="AC50" i="2"/>
  <c r="N50" i="2"/>
  <c r="V50" i="2"/>
  <c r="O50" i="2"/>
  <c r="W50" i="2"/>
  <c r="Q56" i="2"/>
  <c r="Y56" i="2"/>
  <c r="J56" i="2"/>
  <c r="R56" i="2"/>
  <c r="Z56" i="2"/>
  <c r="K56" i="2"/>
  <c r="S56" i="2"/>
  <c r="AA56" i="2"/>
  <c r="U56" i="2"/>
  <c r="L56" i="2"/>
  <c r="T56" i="2"/>
  <c r="AB56" i="2"/>
  <c r="M56" i="2"/>
  <c r="AC56" i="2"/>
  <c r="N56" i="2"/>
  <c r="V56" i="2"/>
  <c r="O56" i="2"/>
  <c r="W56" i="2"/>
  <c r="P56" i="2"/>
  <c r="X56" i="2"/>
  <c r="U36" i="2"/>
  <c r="AC36" i="2"/>
  <c r="N36" i="2"/>
  <c r="V36" i="2"/>
  <c r="O36" i="2"/>
  <c r="W36" i="2"/>
  <c r="Q36" i="2"/>
  <c r="P36" i="2"/>
  <c r="X36" i="2"/>
  <c r="Y36" i="2"/>
  <c r="R36" i="2"/>
  <c r="Z36" i="2"/>
  <c r="K36" i="2"/>
  <c r="S36" i="2"/>
  <c r="AA36" i="2"/>
  <c r="T36" i="2"/>
  <c r="AB36" i="2"/>
  <c r="N54" i="2"/>
  <c r="V54" i="2"/>
  <c r="O54" i="2"/>
  <c r="W54" i="2"/>
  <c r="P54" i="2"/>
  <c r="X54" i="2"/>
  <c r="R54" i="2"/>
  <c r="Q54" i="2"/>
  <c r="Y54" i="2"/>
  <c r="J54" i="2"/>
  <c r="Z54" i="2"/>
  <c r="K54" i="2"/>
  <c r="S54" i="2"/>
  <c r="AA54" i="2"/>
  <c r="L54" i="2"/>
  <c r="T54" i="2"/>
  <c r="AB54" i="2"/>
  <c r="M54" i="2"/>
  <c r="U54" i="2"/>
  <c r="AC54" i="2"/>
  <c r="E19" i="3"/>
  <c r="Q26" i="2"/>
  <c r="Y26" i="2"/>
  <c r="R26" i="2"/>
  <c r="Z26" i="2"/>
  <c r="S26" i="2"/>
  <c r="AA26" i="2"/>
  <c r="M26" i="2"/>
  <c r="AC26" i="2"/>
  <c r="L26" i="2"/>
  <c r="T26" i="2"/>
  <c r="AB26" i="2"/>
  <c r="U26" i="2"/>
  <c r="N26" i="2"/>
  <c r="V26" i="2"/>
  <c r="O26" i="2"/>
  <c r="W26" i="2"/>
  <c r="P26" i="2"/>
  <c r="X26" i="2"/>
  <c r="K40" i="2"/>
  <c r="S40" i="2"/>
  <c r="AA40" i="2"/>
  <c r="T40" i="2"/>
  <c r="AB40" i="2"/>
  <c r="U40" i="2"/>
  <c r="AC40" i="2"/>
  <c r="O40" i="2"/>
  <c r="N40" i="2"/>
  <c r="V40" i="2"/>
  <c r="W40" i="2"/>
  <c r="P40" i="2"/>
  <c r="X40" i="2"/>
  <c r="Q40" i="2"/>
  <c r="Y40" i="2"/>
  <c r="R40" i="2"/>
  <c r="Z40" i="2"/>
  <c r="J62" i="2"/>
  <c r="R62" i="2"/>
  <c r="Z62" i="2"/>
  <c r="K62" i="2"/>
  <c r="S62" i="2"/>
  <c r="AA62" i="2"/>
  <c r="L62" i="2"/>
  <c r="T62" i="2"/>
  <c r="AB62" i="2"/>
  <c r="M62" i="2"/>
  <c r="U62" i="2"/>
  <c r="AC62" i="2"/>
  <c r="N62" i="2"/>
  <c r="V62" i="2"/>
  <c r="O62" i="2"/>
  <c r="W62" i="2"/>
  <c r="P62" i="2"/>
  <c r="X62" i="2"/>
  <c r="Q62" i="2"/>
  <c r="Y62" i="2"/>
  <c r="O42" i="2"/>
  <c r="W42" i="2"/>
  <c r="P42" i="2"/>
  <c r="X42" i="2"/>
  <c r="Q42" i="2"/>
  <c r="Y42" i="2"/>
  <c r="K42" i="2"/>
  <c r="AA42" i="2"/>
  <c r="R42" i="2"/>
  <c r="Z42" i="2"/>
  <c r="S42" i="2"/>
  <c r="L42" i="2"/>
  <c r="T42" i="2"/>
  <c r="AB42" i="2"/>
  <c r="M42" i="2"/>
  <c r="U42" i="2"/>
  <c r="AC42" i="2"/>
  <c r="N42" i="2"/>
  <c r="V42" i="2"/>
  <c r="N24" i="2"/>
  <c r="V24" i="2"/>
  <c r="O24" i="2"/>
  <c r="W24" i="2"/>
  <c r="P24" i="2"/>
  <c r="X24" i="2"/>
  <c r="R24" i="2"/>
  <c r="Q24" i="2"/>
  <c r="Y24" i="2"/>
  <c r="Z24" i="2"/>
  <c r="S24" i="2"/>
  <c r="AA24" i="2"/>
  <c r="L24" i="2"/>
  <c r="T24" i="2"/>
  <c r="AB24" i="2"/>
  <c r="U24" i="2"/>
  <c r="AC24" i="2"/>
  <c r="L58" i="2"/>
  <c r="T58" i="2"/>
  <c r="AB58" i="2"/>
  <c r="M58" i="2"/>
  <c r="U58" i="2"/>
  <c r="AC58" i="2"/>
  <c r="N58" i="2"/>
  <c r="V58" i="2"/>
  <c r="P58" i="2"/>
  <c r="X58" i="2"/>
  <c r="O58" i="2"/>
  <c r="W58" i="2"/>
  <c r="Q58" i="2"/>
  <c r="Y58" i="2"/>
  <c r="J58" i="2"/>
  <c r="R58" i="2"/>
  <c r="Z58" i="2"/>
  <c r="K58" i="2"/>
  <c r="S58" i="2"/>
  <c r="AA58" i="2"/>
  <c r="O60" i="2"/>
  <c r="W60" i="2"/>
  <c r="P60" i="2"/>
  <c r="X60" i="2"/>
  <c r="Q60" i="2"/>
  <c r="Y60" i="2"/>
  <c r="S60" i="2"/>
  <c r="AA60" i="2"/>
  <c r="J60" i="2"/>
  <c r="R60" i="2"/>
  <c r="Z60" i="2"/>
  <c r="K60" i="2"/>
  <c r="L60" i="2"/>
  <c r="T60" i="2"/>
  <c r="AB60" i="2"/>
  <c r="M60" i="2"/>
  <c r="U60" i="2"/>
  <c r="AC60" i="2"/>
  <c r="N60" i="2"/>
  <c r="V60" i="2"/>
  <c r="S22" i="2"/>
  <c r="AA22" i="2"/>
  <c r="T22" i="2"/>
  <c r="AB22" i="2"/>
  <c r="M22" i="2"/>
  <c r="U22" i="2"/>
  <c r="AC22" i="2"/>
  <c r="W22" i="2"/>
  <c r="N22" i="2"/>
  <c r="V22" i="2"/>
  <c r="O22" i="2"/>
  <c r="P22" i="2"/>
  <c r="X22" i="2"/>
  <c r="Q22" i="2"/>
  <c r="Y22" i="2"/>
  <c r="R22" i="2"/>
  <c r="Z22" i="2"/>
  <c r="K52" i="2"/>
  <c r="S52" i="2"/>
  <c r="AA52" i="2"/>
  <c r="L52" i="2"/>
  <c r="T52" i="2"/>
  <c r="AB52" i="2"/>
  <c r="M52" i="2"/>
  <c r="U52" i="2"/>
  <c r="AC52" i="2"/>
  <c r="W52" i="2"/>
  <c r="N52" i="2"/>
  <c r="V52" i="2"/>
  <c r="O52" i="2"/>
  <c r="P52" i="2"/>
  <c r="X52" i="2"/>
  <c r="Q52" i="2"/>
  <c r="Y52" i="2"/>
  <c r="J52" i="2"/>
  <c r="R52" i="2"/>
  <c r="Z52" i="2"/>
  <c r="E20" i="3"/>
  <c r="L28" i="2"/>
  <c r="P28" i="2"/>
  <c r="T28" i="2"/>
  <c r="X28" i="2"/>
  <c r="AB28" i="2"/>
  <c r="Q28" i="2"/>
  <c r="U28" i="2"/>
  <c r="Y28" i="2"/>
  <c r="AC28" i="2"/>
  <c r="O28" i="2"/>
  <c r="N28" i="2"/>
  <c r="R28" i="2"/>
  <c r="V28" i="2"/>
  <c r="Z28" i="2"/>
  <c r="S28" i="2"/>
  <c r="W28" i="2"/>
  <c r="AA28" i="2"/>
  <c r="Q44" i="2"/>
  <c r="U44" i="2"/>
  <c r="Y44" i="2"/>
  <c r="AC44" i="2"/>
  <c r="R44" i="2"/>
  <c r="V44" i="2"/>
  <c r="Z44" i="2"/>
  <c r="O44" i="2"/>
  <c r="S44" i="2"/>
  <c r="W44" i="2"/>
  <c r="AA44" i="2"/>
  <c r="P44" i="2"/>
  <c r="T44" i="2"/>
  <c r="X44" i="2"/>
  <c r="AB44" i="2"/>
  <c r="DD13" i="2"/>
  <c r="DG43" i="2" s="1"/>
  <c r="DG13" i="2"/>
  <c r="AB13" i="2" s="1"/>
  <c r="DF13" i="2"/>
  <c r="DG39" i="2" s="1"/>
  <c r="DE13" i="2"/>
  <c r="E39" i="3"/>
  <c r="E36" i="3"/>
  <c r="E35" i="3"/>
  <c r="E33" i="3"/>
  <c r="E38" i="3"/>
  <c r="E34" i="3"/>
  <c r="E31" i="3"/>
  <c r="E30" i="3"/>
  <c r="E32" i="3"/>
  <c r="E40" i="3"/>
  <c r="E29" i="3"/>
  <c r="E37" i="3"/>
  <c r="AB20" i="2"/>
  <c r="X20" i="2"/>
  <c r="T20" i="2"/>
  <c r="O20" i="2"/>
  <c r="Z20" i="2"/>
  <c r="V20" i="2"/>
  <c r="R20" i="2"/>
  <c r="AC20" i="2"/>
  <c r="U20" i="2"/>
  <c r="AA20" i="2"/>
  <c r="W20" i="2"/>
  <c r="S20" i="2"/>
  <c r="Y20" i="2"/>
  <c r="E17" i="3"/>
  <c r="E18" i="3"/>
  <c r="E21" i="3"/>
  <c r="E24" i="3"/>
  <c r="E26" i="3"/>
  <c r="E27" i="3"/>
  <c r="E28" i="3"/>
  <c r="E23" i="3"/>
  <c r="DA21" i="2"/>
  <c r="DA25" i="2"/>
  <c r="DA29" i="2"/>
  <c r="DA33" i="2"/>
  <c r="DA37" i="2"/>
  <c r="DA41" i="2"/>
  <c r="DA45" i="2"/>
  <c r="DA49" i="2"/>
  <c r="DA53" i="2"/>
  <c r="DA57" i="2"/>
  <c r="DA61" i="2"/>
  <c r="DA65" i="2"/>
  <c r="DB19" i="2"/>
  <c r="DB21" i="2"/>
  <c r="DB25" i="2"/>
  <c r="DB29" i="2"/>
  <c r="DB33" i="2"/>
  <c r="DB37" i="2"/>
  <c r="DB41" i="2"/>
  <c r="DB45" i="2"/>
  <c r="DB49" i="2"/>
  <c r="DB53" i="2"/>
  <c r="DB57" i="2"/>
  <c r="DB61" i="2"/>
  <c r="DB65" i="2"/>
  <c r="DA19" i="2"/>
  <c r="DA23" i="2"/>
  <c r="DA27" i="2"/>
  <c r="DA31" i="2"/>
  <c r="DA35" i="2"/>
  <c r="DA39" i="2"/>
  <c r="DA43" i="2"/>
  <c r="DA47" i="2"/>
  <c r="DA51" i="2"/>
  <c r="DA55" i="2"/>
  <c r="DA59" i="2"/>
  <c r="DA63" i="2"/>
  <c r="DA67" i="2"/>
  <c r="DB23" i="2"/>
  <c r="DB27" i="2"/>
  <c r="DB31" i="2"/>
  <c r="DB35" i="2"/>
  <c r="DB39" i="2"/>
  <c r="DB43" i="2"/>
  <c r="DB47" i="2"/>
  <c r="DB51" i="2"/>
  <c r="DB55" i="2"/>
  <c r="DB59" i="2"/>
  <c r="DB63" i="2"/>
  <c r="DB67" i="2"/>
  <c r="CU21" i="2"/>
  <c r="CU29" i="2"/>
  <c r="CU37" i="2"/>
  <c r="CU45" i="2"/>
  <c r="CU53" i="2"/>
  <c r="CU61" i="2"/>
  <c r="CU19" i="2"/>
  <c r="CT27" i="2"/>
  <c r="CT35" i="2"/>
  <c r="CT43" i="2"/>
  <c r="CT51" i="2"/>
  <c r="CT59" i="2"/>
  <c r="CT67" i="2"/>
  <c r="CU23" i="2"/>
  <c r="CU31" i="2"/>
  <c r="CU39" i="2"/>
  <c r="CU47" i="2"/>
  <c r="CU55" i="2"/>
  <c r="CU63" i="2"/>
  <c r="CT21" i="2"/>
  <c r="CT29" i="2"/>
  <c r="CT37" i="2"/>
  <c r="CT45" i="2"/>
  <c r="CT53" i="2"/>
  <c r="CT61" i="2"/>
  <c r="CT19" i="2"/>
  <c r="CU59" i="2"/>
  <c r="CT33" i="2"/>
  <c r="CT41" i="2"/>
  <c r="CU25" i="2"/>
  <c r="CU33" i="2"/>
  <c r="CU41" i="2"/>
  <c r="CU49" i="2"/>
  <c r="CU57" i="2"/>
  <c r="CU65" i="2"/>
  <c r="CT23" i="2"/>
  <c r="CT31" i="2"/>
  <c r="CT39" i="2"/>
  <c r="CT47" i="2"/>
  <c r="CT55" i="2"/>
  <c r="CT63" i="2"/>
  <c r="CU27" i="2"/>
  <c r="CU35" i="2"/>
  <c r="CU43" i="2"/>
  <c r="CU51" i="2"/>
  <c r="CU67" i="2"/>
  <c r="CT25" i="2"/>
  <c r="CT49" i="2"/>
  <c r="CT57" i="2"/>
  <c r="CT65" i="2"/>
  <c r="DL62" i="2"/>
  <c r="DL52" i="2"/>
  <c r="EC68" i="2"/>
  <c r="EB68" i="2"/>
  <c r="DY32" i="2"/>
  <c r="DS42" i="2"/>
  <c r="DO42" i="2"/>
  <c r="DX50" i="2"/>
  <c r="DZ58" i="2"/>
  <c r="DY58" i="2"/>
  <c r="DR66" i="2"/>
  <c r="DL48" i="2"/>
  <c r="DL64" i="2"/>
  <c r="DL66" i="2"/>
  <c r="DO30" i="2"/>
  <c r="DY44" i="2"/>
  <c r="DW60" i="2"/>
  <c r="EA52" i="2"/>
  <c r="DY68" i="2"/>
  <c r="DQ50" i="2"/>
  <c r="ED52" i="2"/>
  <c r="DP50" i="2"/>
  <c r="DQ58" i="2"/>
  <c r="DM28" i="2"/>
  <c r="DM56" i="2"/>
  <c r="DZ28" i="2"/>
  <c r="DW46" i="2"/>
  <c r="EB46" i="2"/>
  <c r="DZ46" i="2"/>
  <c r="DX54" i="2"/>
  <c r="EC54" i="2"/>
  <c r="DL54" i="2"/>
  <c r="DS62" i="2"/>
  <c r="DR34" i="2"/>
  <c r="DK34" i="2"/>
  <c r="DQ40" i="2"/>
  <c r="DR40" i="2"/>
  <c r="DZ48" i="2"/>
  <c r="DR48" i="2"/>
  <c r="ED56" i="2"/>
  <c r="DU56" i="2"/>
  <c r="EB56" i="2"/>
  <c r="DL56" i="2"/>
  <c r="DQ64" i="2"/>
  <c r="DL50" i="2"/>
  <c r="DY28" i="2"/>
  <c r="DS36" i="2"/>
  <c r="EC46" i="2"/>
  <c r="EC62" i="2"/>
  <c r="DO34" i="2"/>
  <c r="DS40" i="2"/>
  <c r="DO48" i="2"/>
  <c r="DR64" i="2"/>
  <c r="DQ52" i="2"/>
  <c r="DR68" i="2"/>
  <c r="EA32" i="2"/>
  <c r="DN42" i="2"/>
  <c r="DV50" i="2"/>
  <c r="DP66" i="2"/>
  <c r="DT66" i="2"/>
  <c r="DY30" i="2"/>
  <c r="ED30" i="2"/>
  <c r="EB30" i="2"/>
  <c r="EA44" i="2"/>
  <c r="DK44" i="2"/>
  <c r="DR44" i="2"/>
  <c r="DU60" i="2"/>
  <c r="DS60" i="2"/>
  <c r="DO60" i="2"/>
  <c r="DR60" i="2"/>
  <c r="DM24" i="2"/>
  <c r="DM30" i="2"/>
  <c r="DM40" i="2"/>
  <c r="DM52" i="2"/>
  <c r="DM68" i="2"/>
  <c r="DM46" i="2"/>
  <c r="DM62" i="2"/>
  <c r="CP61" i="2"/>
  <c r="CP45" i="2"/>
  <c r="CP53" i="2"/>
  <c r="DM34" i="2"/>
  <c r="EB26" i="2"/>
  <c r="DS26" i="2"/>
  <c r="DV28" i="2"/>
  <c r="DO28" i="2"/>
  <c r="DS28" i="2"/>
  <c r="DU28" i="2"/>
  <c r="DX28" i="2"/>
  <c r="EA36" i="2"/>
  <c r="DT36" i="2"/>
  <c r="DX36" i="2"/>
  <c r="DV36" i="2"/>
  <c r="DY36" i="2"/>
  <c r="EA46" i="2"/>
  <c r="DK46" i="2"/>
  <c r="DT46" i="2"/>
  <c r="DV46" i="2"/>
  <c r="DY46" i="2"/>
  <c r="DQ54" i="2"/>
  <c r="DU54" i="2"/>
  <c r="DS54" i="2"/>
  <c r="DZ54" i="2"/>
  <c r="DZ62" i="2"/>
  <c r="DN62" i="2"/>
  <c r="DV62" i="2"/>
  <c r="DY62" i="2"/>
  <c r="DZ34" i="2"/>
  <c r="ED34" i="2"/>
  <c r="EC34" i="2"/>
  <c r="DP34" i="2"/>
  <c r="ED40" i="2"/>
  <c r="DY40" i="2"/>
  <c r="EB40" i="2"/>
  <c r="DO40" i="2"/>
  <c r="DN48" i="2"/>
  <c r="ED48" i="2"/>
  <c r="EC48" i="2"/>
  <c r="DP48" i="2"/>
  <c r="DY56" i="2"/>
  <c r="DZ56" i="2"/>
  <c r="DV56" i="2"/>
  <c r="DP56" i="2"/>
  <c r="DO56" i="2"/>
  <c r="DK64" i="2"/>
  <c r="ED64" i="2"/>
  <c r="DV64" i="2"/>
  <c r="DP64" i="2"/>
  <c r="EB52" i="2"/>
  <c r="DO52" i="2"/>
  <c r="DZ52" i="2"/>
  <c r="EC52" i="2"/>
  <c r="DX68" i="2"/>
  <c r="DW68" i="2"/>
  <c r="EA68" i="2"/>
  <c r="ED68" i="2"/>
  <c r="DN68" i="2"/>
  <c r="DP32" i="2"/>
  <c r="EC32" i="2"/>
  <c r="DW32" i="2"/>
  <c r="ED32" i="2"/>
  <c r="DN32" i="2"/>
  <c r="EA42" i="2"/>
  <c r="EB42" i="2"/>
  <c r="DZ42" i="2"/>
  <c r="EC42" i="2"/>
  <c r="EC50" i="2"/>
  <c r="EA50" i="2"/>
  <c r="DM50" i="2"/>
  <c r="DK50" i="2"/>
  <c r="DU58" i="2"/>
  <c r="DT58" i="2"/>
  <c r="DO58" i="2"/>
  <c r="DX66" i="2"/>
  <c r="DN66" i="2"/>
  <c r="DO66" i="2"/>
  <c r="DN30" i="2"/>
  <c r="DU30" i="2"/>
  <c r="DX30" i="2"/>
  <c r="EA30" i="2"/>
  <c r="DK30" i="2"/>
  <c r="DP44" i="2"/>
  <c r="EC44" i="2"/>
  <c r="DW44" i="2"/>
  <c r="ED44" i="2"/>
  <c r="DN44" i="2"/>
  <c r="DQ60" i="2"/>
  <c r="DP60" i="2"/>
  <c r="ED60" i="2"/>
  <c r="DN60" i="2"/>
  <c r="EA28" i="2"/>
  <c r="DZ36" i="2"/>
  <c r="ED54" i="2"/>
  <c r="DR62" i="2"/>
  <c r="DQ48" i="2"/>
  <c r="DT56" i="2"/>
  <c r="DO64" i="2"/>
  <c r="DT64" i="2"/>
  <c r="DK52" i="2"/>
  <c r="DN52" i="2"/>
  <c r="DK68" i="2"/>
  <c r="DT32" i="2"/>
  <c r="DQ42" i="2"/>
  <c r="DM32" i="2"/>
  <c r="DM66" i="2"/>
  <c r="DM54" i="2"/>
  <c r="DM48" i="2"/>
  <c r="DM64" i="2"/>
  <c r="ED28" i="2"/>
  <c r="DW28" i="2"/>
  <c r="DK28" i="2"/>
  <c r="DQ28" i="2"/>
  <c r="DT28" i="2"/>
  <c r="DO36" i="2"/>
  <c r="DM36" i="2"/>
  <c r="DK36" i="2"/>
  <c r="DP36" i="2"/>
  <c r="DR36" i="2"/>
  <c r="DU36" i="2"/>
  <c r="DX46" i="2"/>
  <c r="DP46" i="2"/>
  <c r="DR46" i="2"/>
  <c r="DU46" i="2"/>
  <c r="DY54" i="2"/>
  <c r="EB54" i="2"/>
  <c r="DO54" i="2"/>
  <c r="DV54" i="2"/>
  <c r="ED62" i="2"/>
  <c r="EB62" i="2"/>
  <c r="DT62" i="2"/>
  <c r="DP62" i="2"/>
  <c r="DU62" i="2"/>
  <c r="DL60" i="2"/>
  <c r="DL58" i="2"/>
  <c r="DN34" i="2"/>
  <c r="DS34" i="2"/>
  <c r="DY34" i="2"/>
  <c r="EB34" i="2"/>
  <c r="DU40" i="2"/>
  <c r="DN40" i="2"/>
  <c r="DX40" i="2"/>
  <c r="EA40" i="2"/>
  <c r="DK40" i="2"/>
  <c r="DV48" i="2"/>
  <c r="DS48" i="2"/>
  <c r="DY48" i="2"/>
  <c r="EB48" i="2"/>
  <c r="EA56" i="2"/>
  <c r="DN56" i="2"/>
  <c r="DK56" i="2"/>
  <c r="DZ64" i="2"/>
  <c r="DY64" i="2"/>
  <c r="EC64" i="2"/>
  <c r="EB64" i="2"/>
  <c r="DW52" i="2"/>
  <c r="DS52" i="2"/>
  <c r="DX52" i="2"/>
  <c r="DV52" i="2"/>
  <c r="DY52" i="2"/>
  <c r="DT68" i="2"/>
  <c r="DS68" i="2"/>
  <c r="DQ68" i="2"/>
  <c r="DU68" i="2"/>
  <c r="DZ68" i="2"/>
  <c r="EB32" i="2"/>
  <c r="DX32" i="2"/>
  <c r="DU32" i="2"/>
  <c r="DS32" i="2"/>
  <c r="DZ32" i="2"/>
  <c r="DW42" i="2"/>
  <c r="DP42" i="2"/>
  <c r="DT42" i="2"/>
  <c r="DV42" i="2"/>
  <c r="DY42" i="2"/>
  <c r="DU50" i="2"/>
  <c r="DT50" i="2"/>
  <c r="DW50" i="2"/>
  <c r="ED50" i="2"/>
  <c r="DN50" i="2"/>
  <c r="DP58" i="2"/>
  <c r="DN58" i="2"/>
  <c r="EC58" i="2"/>
  <c r="EA58" i="2"/>
  <c r="DK58" i="2"/>
  <c r="EB66" i="2"/>
  <c r="DZ66" i="2"/>
  <c r="ED66" i="2"/>
  <c r="EA66" i="2"/>
  <c r="DK66" i="2"/>
  <c r="EC30" i="2"/>
  <c r="DV30" i="2"/>
  <c r="DZ30" i="2"/>
  <c r="DT30" i="2"/>
  <c r="DW30" i="2"/>
  <c r="EB44" i="2"/>
  <c r="DT44" i="2"/>
  <c r="DU44" i="2"/>
  <c r="DS44" i="2"/>
  <c r="DZ44" i="2"/>
  <c r="DX60" i="2"/>
  <c r="DK60" i="2"/>
  <c r="DY60" i="2"/>
  <c r="DZ60" i="2"/>
  <c r="EB28" i="2"/>
  <c r="EC36" i="2"/>
  <c r="DW54" i="2"/>
  <c r="DK54" i="2"/>
  <c r="DN54" i="2"/>
  <c r="EA62" i="2"/>
  <c r="DQ34" i="2"/>
  <c r="DT34" i="2"/>
  <c r="DP40" i="2"/>
  <c r="DT48" i="2"/>
  <c r="DS56" i="2"/>
  <c r="DN64" i="2"/>
  <c r="DK32" i="2"/>
  <c r="DR32" i="2"/>
  <c r="ED42" i="2"/>
  <c r="DO50" i="2"/>
  <c r="DR58" i="2"/>
  <c r="DS58" i="2"/>
  <c r="DQ66" i="2"/>
  <c r="DS66" i="2"/>
  <c r="DM44" i="2"/>
  <c r="DM60" i="2"/>
  <c r="DM58" i="2"/>
  <c r="CP33" i="2"/>
  <c r="DM42" i="2"/>
  <c r="DR28" i="2"/>
  <c r="DN28" i="2"/>
  <c r="EC28" i="2"/>
  <c r="DP28" i="2"/>
  <c r="DW36" i="2"/>
  <c r="EB36" i="2"/>
  <c r="ED36" i="2"/>
  <c r="DN36" i="2"/>
  <c r="DQ36" i="2"/>
  <c r="DO46" i="2"/>
  <c r="DS46" i="2"/>
  <c r="ED46" i="2"/>
  <c r="DN46" i="2"/>
  <c r="DQ46" i="2"/>
  <c r="DP54" i="2"/>
  <c r="DT54" i="2"/>
  <c r="EA54" i="2"/>
  <c r="DR54" i="2"/>
  <c r="DX62" i="2"/>
  <c r="DW62" i="2"/>
  <c r="DO62" i="2"/>
  <c r="DK62" i="2"/>
  <c r="DQ62" i="2"/>
  <c r="DL68" i="2"/>
  <c r="EA34" i="2"/>
  <c r="DV34" i="2"/>
  <c r="DW34" i="2"/>
  <c r="DU34" i="2"/>
  <c r="DX34" i="2"/>
  <c r="DV40" i="2"/>
  <c r="EC40" i="2"/>
  <c r="DZ40" i="2"/>
  <c r="DT40" i="2"/>
  <c r="DW40" i="2"/>
  <c r="EA48" i="2"/>
  <c r="DK48" i="2"/>
  <c r="DW48" i="2"/>
  <c r="DU48" i="2"/>
  <c r="DX48" i="2"/>
  <c r="DQ56" i="2"/>
  <c r="EC56" i="2"/>
  <c r="DR56" i="2"/>
  <c r="DX56" i="2"/>
  <c r="DW56" i="2"/>
  <c r="EA64" i="2"/>
  <c r="DU64" i="2"/>
  <c r="DS64" i="2"/>
  <c r="DW64" i="2"/>
  <c r="DX64" i="2"/>
  <c r="DT52" i="2"/>
  <c r="DP52" i="2"/>
  <c r="DR52" i="2"/>
  <c r="DU52" i="2"/>
  <c r="DO68" i="2"/>
  <c r="DP68" i="2"/>
  <c r="DV68" i="2"/>
  <c r="DQ32" i="2"/>
  <c r="DO32" i="2"/>
  <c r="DV32" i="2"/>
  <c r="DK42" i="2"/>
  <c r="DX42" i="2"/>
  <c r="DR42" i="2"/>
  <c r="DU42" i="2"/>
  <c r="EB50" i="2"/>
  <c r="DR50" i="2"/>
  <c r="DY50" i="2"/>
  <c r="DS50" i="2"/>
  <c r="DZ50" i="2"/>
  <c r="DV58" i="2"/>
  <c r="ED58" i="2"/>
  <c r="EB58" i="2"/>
  <c r="DX58" i="2"/>
  <c r="DW58" i="2"/>
  <c r="EC66" i="2"/>
  <c r="DV66" i="2"/>
  <c r="DU66" i="2"/>
  <c r="DY66" i="2"/>
  <c r="DW66" i="2"/>
  <c r="DQ30" i="2"/>
  <c r="DR30" i="2"/>
  <c r="DP30" i="2"/>
  <c r="DS30" i="2"/>
  <c r="DQ44" i="2"/>
  <c r="DX44" i="2"/>
  <c r="DO44" i="2"/>
  <c r="DV44" i="2"/>
  <c r="EB60" i="2"/>
  <c r="EA60" i="2"/>
  <c r="EC60" i="2"/>
  <c r="DT60" i="2"/>
  <c r="DV60" i="2"/>
  <c r="CP23" i="2"/>
  <c r="DX26" i="2"/>
  <c r="EC26" i="2"/>
  <c r="DO26" i="2"/>
  <c r="DV26" i="2"/>
  <c r="DT26" i="2"/>
  <c r="DY26" i="2"/>
  <c r="EA26" i="2"/>
  <c r="DK26" i="2"/>
  <c r="DR26" i="2"/>
  <c r="DQ26" i="2"/>
  <c r="DZ26" i="2"/>
  <c r="DM26" i="2"/>
  <c r="DP26" i="2"/>
  <c r="DU26" i="2"/>
  <c r="DW26" i="2"/>
  <c r="ED26" i="2"/>
  <c r="DN26" i="2"/>
  <c r="DP20" i="2"/>
  <c r="DR20" i="2"/>
  <c r="DL20" i="2"/>
  <c r="EB20" i="2"/>
  <c r="EA20" i="2"/>
  <c r="DX20" i="2"/>
  <c r="DW20" i="2"/>
  <c r="DM20" i="2"/>
  <c r="DQ20" i="2"/>
  <c r="DV20" i="2"/>
  <c r="DT20" i="2"/>
  <c r="DU20" i="2"/>
  <c r="DS20" i="2"/>
  <c r="DO20" i="2"/>
  <c r="DN20" i="2"/>
  <c r="DK20" i="2"/>
  <c r="EC20" i="2"/>
  <c r="DZ20" i="2"/>
  <c r="DY20" i="2"/>
  <c r="ED20" i="2"/>
  <c r="EB24" i="2"/>
  <c r="DO24" i="2"/>
  <c r="DV24" i="2"/>
  <c r="DY24" i="2"/>
  <c r="DX24" i="2"/>
  <c r="EA24" i="2"/>
  <c r="DK24" i="2"/>
  <c r="DR24" i="2"/>
  <c r="DU24" i="2"/>
  <c r="DT24" i="2"/>
  <c r="DW24" i="2"/>
  <c r="ED24" i="2"/>
  <c r="DN24" i="2"/>
  <c r="DQ24" i="2"/>
  <c r="DP24" i="2"/>
  <c r="DS24" i="2"/>
  <c r="DZ24" i="2"/>
  <c r="EC24" i="2"/>
  <c r="DL22" i="2"/>
  <c r="DM22" i="2"/>
  <c r="DK22" i="2"/>
  <c r="EA22" i="2"/>
  <c r="DR22" i="2"/>
  <c r="DU22" i="2"/>
  <c r="DX22" i="2"/>
  <c r="DW22" i="2"/>
  <c r="ED22" i="2"/>
  <c r="DP22" i="2"/>
  <c r="DQ22" i="2"/>
  <c r="DT22" i="2"/>
  <c r="DS22" i="2"/>
  <c r="DZ22" i="2"/>
  <c r="EC22" i="2"/>
  <c r="DO22" i="2"/>
  <c r="DV22" i="2"/>
  <c r="DY22" i="2"/>
  <c r="EB22" i="2"/>
  <c r="DN22" i="2"/>
  <c r="CP25" i="2"/>
  <c r="CP21" i="2"/>
  <c r="CP29" i="2"/>
  <c r="CP41" i="2"/>
  <c r="CP49" i="2"/>
  <c r="CP27" i="2"/>
  <c r="CP65" i="2"/>
  <c r="CP55" i="2"/>
  <c r="CP57" i="2"/>
  <c r="CP35" i="2"/>
  <c r="CP39" i="2"/>
  <c r="CP43" i="2"/>
  <c r="CP31" i="2"/>
  <c r="CP47" i="2"/>
  <c r="CP63" i="2"/>
  <c r="CP51" i="2"/>
  <c r="CP59" i="2"/>
  <c r="CP67" i="2"/>
  <c r="CP19" i="2"/>
  <c r="FB25" i="2"/>
  <c r="FF25" i="2"/>
  <c r="FE25" i="2"/>
  <c r="FC25" i="2"/>
  <c r="FG25" i="2"/>
  <c r="FD25" i="2"/>
  <c r="FE19" i="2"/>
  <c r="FC19" i="2"/>
  <c r="FB19" i="2"/>
  <c r="FF19" i="2"/>
  <c r="FG19" i="2"/>
  <c r="FD19" i="2"/>
  <c r="FD29" i="2"/>
  <c r="FB29" i="2"/>
  <c r="FE29" i="2"/>
  <c r="FF29" i="2"/>
  <c r="FC29" i="2"/>
  <c r="FG29" i="2"/>
  <c r="FD27" i="2"/>
  <c r="FE27" i="2"/>
  <c r="FB27" i="2"/>
  <c r="FF27" i="2"/>
  <c r="FC27" i="2"/>
  <c r="FG27" i="2"/>
  <c r="FB23" i="2"/>
  <c r="FF23" i="2"/>
  <c r="FE23" i="2"/>
  <c r="FC23" i="2"/>
  <c r="FG23" i="2"/>
  <c r="FD23" i="2"/>
  <c r="FB21" i="2"/>
  <c r="FF21" i="2"/>
  <c r="FC21" i="2"/>
  <c r="FG21" i="2"/>
  <c r="FD21" i="2"/>
  <c r="FE21" i="2"/>
  <c r="EF30" i="2" a="1"/>
  <c r="EF30" i="2" s="1"/>
  <c r="EG31" i="2"/>
  <c r="EG32" i="2" s="1"/>
  <c r="BU31" i="2"/>
  <c r="F32" i="2" s="1"/>
  <c r="BG50" i="2"/>
  <c r="BK50" i="2"/>
  <c r="BO50" i="2"/>
  <c r="BI50" i="2"/>
  <c r="BN50" i="2"/>
  <c r="BM50" i="2"/>
  <c r="BH50" i="2"/>
  <c r="BL50" i="2"/>
  <c r="BF50" i="2"/>
  <c r="BJ50" i="2"/>
  <c r="BF56" i="2"/>
  <c r="BI56" i="2"/>
  <c r="BM56" i="2"/>
  <c r="BH56" i="2"/>
  <c r="BN56" i="2"/>
  <c r="BO56" i="2"/>
  <c r="BJ56" i="2"/>
  <c r="BK56" i="2"/>
  <c r="BL56" i="2"/>
  <c r="BG56" i="2"/>
  <c r="BF29" i="2"/>
  <c r="BG29" i="2"/>
  <c r="BL29" i="2"/>
  <c r="BI29" i="2"/>
  <c r="BO29" i="2"/>
  <c r="BM29" i="2"/>
  <c r="BH29" i="2"/>
  <c r="BK29" i="2"/>
  <c r="BN29" i="2"/>
  <c r="BJ29" i="2"/>
  <c r="BF30" i="2"/>
  <c r="BK30" i="2"/>
  <c r="BH30" i="2"/>
  <c r="BM30" i="2"/>
  <c r="BL30" i="2"/>
  <c r="BO30" i="2"/>
  <c r="BG30" i="2"/>
  <c r="BI30" i="2"/>
  <c r="BJ30" i="2"/>
  <c r="BN30" i="2"/>
  <c r="BH22" i="2"/>
  <c r="BL22" i="2"/>
  <c r="BF22" i="2"/>
  <c r="BJ22" i="2"/>
  <c r="BN22" i="2"/>
  <c r="BI22" i="2"/>
  <c r="BK22" i="2"/>
  <c r="BM22" i="2"/>
  <c r="BG22" i="2"/>
  <c r="BO22" i="2"/>
  <c r="BF21" i="2"/>
  <c r="BH21" i="2"/>
  <c r="BL21" i="2"/>
  <c r="BJ21" i="2"/>
  <c r="BN21" i="2"/>
  <c r="BM21" i="2"/>
  <c r="BG21" i="2"/>
  <c r="BO21" i="2"/>
  <c r="BI21" i="2"/>
  <c r="BK21" i="2"/>
  <c r="BF62" i="2"/>
  <c r="BI62" i="2"/>
  <c r="BM62" i="2"/>
  <c r="BH62" i="2"/>
  <c r="BK62" i="2"/>
  <c r="BN62" i="2"/>
  <c r="BG62" i="2"/>
  <c r="BJ62" i="2"/>
  <c r="BL62" i="2"/>
  <c r="BO62" i="2"/>
  <c r="BH49" i="2"/>
  <c r="BI49" i="2"/>
  <c r="BF49" i="2"/>
  <c r="BL49" i="2"/>
  <c r="BK49" i="2"/>
  <c r="BJ49" i="2"/>
  <c r="BG49" i="2"/>
  <c r="BO49" i="2"/>
  <c r="BM49" i="2"/>
  <c r="BN49" i="2"/>
  <c r="BF58" i="2"/>
  <c r="BI58" i="2"/>
  <c r="BM58" i="2"/>
  <c r="BH58" i="2"/>
  <c r="BK58" i="2"/>
  <c r="BN58" i="2"/>
  <c r="BG58" i="2"/>
  <c r="BJ58" i="2"/>
  <c r="BL58" i="2"/>
  <c r="BO58" i="2"/>
  <c r="BF57" i="2"/>
  <c r="BI57" i="2"/>
  <c r="BM57" i="2"/>
  <c r="BG57" i="2"/>
  <c r="BL57" i="2"/>
  <c r="BH57" i="2"/>
  <c r="BO57" i="2"/>
  <c r="BN57" i="2"/>
  <c r="BK57" i="2"/>
  <c r="BJ57" i="2"/>
  <c r="BF43" i="2"/>
  <c r="BK43" i="2"/>
  <c r="BG43" i="2"/>
  <c r="BL43" i="2"/>
  <c r="BH43" i="2"/>
  <c r="BM43" i="2"/>
  <c r="BO43" i="2"/>
  <c r="BI43" i="2"/>
  <c r="BN43" i="2"/>
  <c r="BJ43" i="2"/>
  <c r="BF52" i="2"/>
  <c r="BI52" i="2"/>
  <c r="BM52" i="2"/>
  <c r="BH52" i="2"/>
  <c r="BN52" i="2"/>
  <c r="BO52" i="2"/>
  <c r="BJ52" i="2"/>
  <c r="BK52" i="2"/>
  <c r="BL52" i="2"/>
  <c r="BG52" i="2"/>
  <c r="BF60" i="2"/>
  <c r="BI60" i="2"/>
  <c r="BM60" i="2"/>
  <c r="BH60" i="2"/>
  <c r="BN60" i="2"/>
  <c r="BO60" i="2"/>
  <c r="BJ60" i="2"/>
  <c r="BK60" i="2"/>
  <c r="BL60" i="2"/>
  <c r="BG60" i="2"/>
  <c r="BK47" i="2"/>
  <c r="BG47" i="2"/>
  <c r="BL47" i="2"/>
  <c r="BH47" i="2"/>
  <c r="BM47" i="2"/>
  <c r="BO47" i="2"/>
  <c r="BI47" i="2"/>
  <c r="BN47" i="2"/>
  <c r="BF47" i="2"/>
  <c r="BJ47" i="2"/>
  <c r="BF27" i="2"/>
  <c r="BI27" i="2"/>
  <c r="BO27" i="2"/>
  <c r="BG27" i="2"/>
  <c r="BL27" i="2"/>
  <c r="BH27" i="2"/>
  <c r="BK27" i="2"/>
  <c r="BM27" i="2"/>
  <c r="BN27" i="2"/>
  <c r="BJ27" i="2"/>
  <c r="BF35" i="2"/>
  <c r="BI35" i="2"/>
  <c r="BO35" i="2"/>
  <c r="BG35" i="2"/>
  <c r="BL35" i="2"/>
  <c r="BH35" i="2"/>
  <c r="BK35" i="2"/>
  <c r="BM35" i="2"/>
  <c r="BN35" i="2"/>
  <c r="BJ35" i="2"/>
  <c r="BF32" i="2"/>
  <c r="BH32" i="2"/>
  <c r="BM32" i="2"/>
  <c r="BK32" i="2"/>
  <c r="BI32" i="2"/>
  <c r="BL32" i="2"/>
  <c r="BO32" i="2"/>
  <c r="BG32" i="2"/>
  <c r="BJ32" i="2"/>
  <c r="BN32" i="2"/>
  <c r="BF41" i="2"/>
  <c r="BH41" i="2"/>
  <c r="BM41" i="2"/>
  <c r="BI41" i="2"/>
  <c r="BO41" i="2"/>
  <c r="BK41" i="2"/>
  <c r="BG41" i="2"/>
  <c r="BL41" i="2"/>
  <c r="BN41" i="2"/>
  <c r="BJ41" i="2"/>
  <c r="BF66" i="2"/>
  <c r="BI66" i="2"/>
  <c r="BM66" i="2"/>
  <c r="BH66" i="2"/>
  <c r="BK66" i="2"/>
  <c r="BN66" i="2"/>
  <c r="BG66" i="2"/>
  <c r="BJ66" i="2"/>
  <c r="BL66" i="2"/>
  <c r="BO66" i="2"/>
  <c r="BF67" i="2"/>
  <c r="BI67" i="2"/>
  <c r="BM67" i="2"/>
  <c r="BO67" i="2"/>
  <c r="BL67" i="2"/>
  <c r="BK67" i="2"/>
  <c r="BH67" i="2"/>
  <c r="BG67" i="2"/>
  <c r="BN67" i="2"/>
  <c r="BJ67" i="2"/>
  <c r="BF28" i="2"/>
  <c r="BH28" i="2"/>
  <c r="BM28" i="2"/>
  <c r="BK28" i="2"/>
  <c r="BO28" i="2"/>
  <c r="BG28" i="2"/>
  <c r="BI28" i="2"/>
  <c r="BL28" i="2"/>
  <c r="BJ28" i="2"/>
  <c r="BN28" i="2"/>
  <c r="BF36" i="2"/>
  <c r="BH36" i="2"/>
  <c r="BM36" i="2"/>
  <c r="BK36" i="2"/>
  <c r="BO36" i="2"/>
  <c r="BG36" i="2"/>
  <c r="BI36" i="2"/>
  <c r="BL36" i="2"/>
  <c r="BJ36" i="2"/>
  <c r="BN36" i="2"/>
  <c r="BF46" i="2"/>
  <c r="BG46" i="2"/>
  <c r="BL46" i="2"/>
  <c r="BH46" i="2"/>
  <c r="BM46" i="2"/>
  <c r="BI46" i="2"/>
  <c r="BO46" i="2"/>
  <c r="BK46" i="2"/>
  <c r="BJ46" i="2"/>
  <c r="BN46" i="2"/>
  <c r="BF53" i="2"/>
  <c r="BI53" i="2"/>
  <c r="BM53" i="2"/>
  <c r="BG53" i="2"/>
  <c r="BL53" i="2"/>
  <c r="BH53" i="2"/>
  <c r="BO53" i="2"/>
  <c r="BN53" i="2"/>
  <c r="BK53" i="2"/>
  <c r="BJ53" i="2"/>
  <c r="BF54" i="2"/>
  <c r="BI54" i="2"/>
  <c r="BM54" i="2"/>
  <c r="BH54" i="2"/>
  <c r="BK54" i="2"/>
  <c r="BN54" i="2"/>
  <c r="BG54" i="2"/>
  <c r="BJ54" i="2"/>
  <c r="BL54" i="2"/>
  <c r="BO54" i="2"/>
  <c r="BH20" i="2"/>
  <c r="BL20" i="2"/>
  <c r="BF20" i="2"/>
  <c r="BG20" i="2"/>
  <c r="BI20" i="2"/>
  <c r="BM20" i="2"/>
  <c r="BO20" i="2"/>
  <c r="BJ20" i="2"/>
  <c r="BN20" i="2"/>
  <c r="BK20" i="2"/>
  <c r="BF33" i="2"/>
  <c r="BG33" i="2"/>
  <c r="BL33" i="2"/>
  <c r="BI33" i="2"/>
  <c r="BO33" i="2"/>
  <c r="BH33" i="2"/>
  <c r="BK33" i="2"/>
  <c r="BM33" i="2"/>
  <c r="BN33" i="2"/>
  <c r="BJ33" i="2"/>
  <c r="BF34" i="2"/>
  <c r="BK34" i="2"/>
  <c r="BH34" i="2"/>
  <c r="BM34" i="2"/>
  <c r="BG34" i="2"/>
  <c r="BI34" i="2"/>
  <c r="BL34" i="2"/>
  <c r="BO34" i="2"/>
  <c r="BJ34" i="2"/>
  <c r="BN34" i="2"/>
  <c r="BF40" i="2"/>
  <c r="BK40" i="2"/>
  <c r="BH40" i="2"/>
  <c r="BM40" i="2"/>
  <c r="BG40" i="2"/>
  <c r="BI40" i="2"/>
  <c r="BL40" i="2"/>
  <c r="BO40" i="2"/>
  <c r="BJ40" i="2"/>
  <c r="BN40" i="2"/>
  <c r="BF63" i="2"/>
  <c r="BI63" i="2"/>
  <c r="BM63" i="2"/>
  <c r="BO63" i="2"/>
  <c r="BL63" i="2"/>
  <c r="BK63" i="2"/>
  <c r="BH63" i="2"/>
  <c r="BG63" i="2"/>
  <c r="BN63" i="2"/>
  <c r="BJ63" i="2"/>
  <c r="BF31" i="2"/>
  <c r="BI31" i="2"/>
  <c r="BO31" i="2"/>
  <c r="BG31" i="2"/>
  <c r="BL31" i="2"/>
  <c r="BK31" i="2"/>
  <c r="BM31" i="2"/>
  <c r="BH31" i="2"/>
  <c r="BN31" i="2"/>
  <c r="BJ31" i="2"/>
  <c r="BF42" i="2"/>
  <c r="BG42" i="2"/>
  <c r="BL42" i="2"/>
  <c r="BH42" i="2"/>
  <c r="BM42" i="2"/>
  <c r="BI42" i="2"/>
  <c r="BO42" i="2"/>
  <c r="BK42" i="2"/>
  <c r="BJ42" i="2"/>
  <c r="BN42" i="2"/>
  <c r="BF65" i="2"/>
  <c r="BI65" i="2"/>
  <c r="BM65" i="2"/>
  <c r="BG65" i="2"/>
  <c r="BL65" i="2"/>
  <c r="BH65" i="2"/>
  <c r="BO65" i="2"/>
  <c r="BN65" i="2"/>
  <c r="BK65" i="2"/>
  <c r="BJ65" i="2"/>
  <c r="BF55" i="2"/>
  <c r="BI55" i="2"/>
  <c r="BM55" i="2"/>
  <c r="BO55" i="2"/>
  <c r="BL55" i="2"/>
  <c r="BK55" i="2"/>
  <c r="BH55" i="2"/>
  <c r="BG55" i="2"/>
  <c r="BN55" i="2"/>
  <c r="BJ55" i="2"/>
  <c r="BF44" i="2"/>
  <c r="BI44" i="2"/>
  <c r="BO44" i="2"/>
  <c r="BK44" i="2"/>
  <c r="BG44" i="2"/>
  <c r="BL44" i="2"/>
  <c r="BM44" i="2"/>
  <c r="BH44" i="2"/>
  <c r="BJ44" i="2"/>
  <c r="BN44" i="2"/>
  <c r="BG51" i="2"/>
  <c r="BL51" i="2"/>
  <c r="BH51" i="2"/>
  <c r="BM51" i="2"/>
  <c r="BI51" i="2"/>
  <c r="BN51" i="2"/>
  <c r="BK51" i="2"/>
  <c r="BO51" i="2"/>
  <c r="BF51" i="2"/>
  <c r="BJ51" i="2"/>
  <c r="BF59" i="2"/>
  <c r="BI59" i="2"/>
  <c r="BM59" i="2"/>
  <c r="BO59" i="2"/>
  <c r="BL59" i="2"/>
  <c r="BK59" i="2"/>
  <c r="BH59" i="2"/>
  <c r="BG59" i="2"/>
  <c r="BN59" i="2"/>
  <c r="BJ59" i="2"/>
  <c r="BF68" i="2"/>
  <c r="BI68" i="2"/>
  <c r="BM68" i="2"/>
  <c r="BH68" i="2"/>
  <c r="BN68" i="2"/>
  <c r="BO68" i="2"/>
  <c r="BJ68" i="2"/>
  <c r="BK68" i="2"/>
  <c r="BL68" i="2"/>
  <c r="BG68" i="2"/>
  <c r="BK48" i="2"/>
  <c r="BL48" i="2"/>
  <c r="BG48" i="2"/>
  <c r="BM48" i="2"/>
  <c r="BH48" i="2"/>
  <c r="BO48" i="2"/>
  <c r="BF48" i="2"/>
  <c r="BI48" i="2"/>
  <c r="BJ48" i="2"/>
  <c r="BN48" i="2"/>
  <c r="BF45" i="2"/>
  <c r="BH45" i="2"/>
  <c r="BM45" i="2"/>
  <c r="BI45" i="2"/>
  <c r="BO45" i="2"/>
  <c r="BK45" i="2"/>
  <c r="BG45" i="2"/>
  <c r="BL45" i="2"/>
  <c r="BN45" i="2"/>
  <c r="BJ45" i="2"/>
  <c r="BF61" i="2"/>
  <c r="BI61" i="2"/>
  <c r="BM61" i="2"/>
  <c r="BG61" i="2"/>
  <c r="BL61" i="2"/>
  <c r="BH61" i="2"/>
  <c r="BO61" i="2"/>
  <c r="BN61" i="2"/>
  <c r="BK61" i="2"/>
  <c r="BJ61" i="2"/>
  <c r="BI19" i="2"/>
  <c r="BM19" i="2"/>
  <c r="BJ19" i="2"/>
  <c r="BN19" i="2"/>
  <c r="BF19" i="2"/>
  <c r="BG19" i="2"/>
  <c r="BK19" i="2"/>
  <c r="BO19" i="2"/>
  <c r="BH19" i="2"/>
  <c r="BL19" i="2"/>
  <c r="BF39" i="2"/>
  <c r="BG39" i="2"/>
  <c r="BL39" i="2"/>
  <c r="BI39" i="2"/>
  <c r="BO39" i="2"/>
  <c r="BH39" i="2"/>
  <c r="BK39" i="2"/>
  <c r="BM39" i="2"/>
  <c r="BN39" i="2"/>
  <c r="BJ39" i="2"/>
  <c r="BF64" i="2"/>
  <c r="BM64" i="2"/>
  <c r="BH64" i="2"/>
  <c r="BI64" i="2"/>
  <c r="BN64" i="2"/>
  <c r="BO64" i="2"/>
  <c r="BJ64" i="2"/>
  <c r="BK64" i="2"/>
  <c r="BL64" i="2"/>
  <c r="BG64" i="2"/>
  <c r="BH24" i="2"/>
  <c r="BL24" i="2"/>
  <c r="BK24" i="2"/>
  <c r="BG24" i="2"/>
  <c r="BM24" i="2"/>
  <c r="BI24" i="2"/>
  <c r="BO24" i="2"/>
  <c r="BF24" i="2"/>
  <c r="BJ24" i="2"/>
  <c r="BN24" i="2"/>
  <c r="BF23" i="2"/>
  <c r="BH23" i="2"/>
  <c r="BM23" i="2"/>
  <c r="BG23" i="2"/>
  <c r="BI23" i="2"/>
  <c r="BN23" i="2"/>
  <c r="BL23" i="2"/>
  <c r="BK23" i="2"/>
  <c r="BO23" i="2"/>
  <c r="BJ23" i="2"/>
  <c r="BF25" i="2"/>
  <c r="BK25" i="2"/>
  <c r="BO25" i="2"/>
  <c r="BI25" i="2"/>
  <c r="BG25" i="2"/>
  <c r="BL25" i="2"/>
  <c r="BN25" i="2"/>
  <c r="BH25" i="2"/>
  <c r="BM25" i="2"/>
  <c r="BJ25" i="2"/>
  <c r="BF26" i="2"/>
  <c r="BH26" i="2"/>
  <c r="BM26" i="2"/>
  <c r="BL26" i="2"/>
  <c r="BI26" i="2"/>
  <c r="BO26" i="2"/>
  <c r="BG26" i="2"/>
  <c r="BK26" i="2"/>
  <c r="BN26" i="2"/>
  <c r="BJ26" i="2"/>
  <c r="CE21" i="2"/>
  <c r="CF21" i="2"/>
  <c r="CE25" i="2"/>
  <c r="CF25" i="2"/>
  <c r="CE37" i="2"/>
  <c r="CF37" i="2"/>
  <c r="CF23" i="2"/>
  <c r="CE23" i="2"/>
  <c r="CF47" i="2"/>
  <c r="CE47" i="2"/>
  <c r="CE49" i="2"/>
  <c r="CF49" i="2"/>
  <c r="CE67" i="2"/>
  <c r="CF67" i="2"/>
  <c r="CE33" i="2"/>
  <c r="CF33" i="2"/>
  <c r="CF63" i="2"/>
  <c r="CE63" i="2"/>
  <c r="CE45" i="2"/>
  <c r="CF45" i="2"/>
  <c r="CE61" i="2"/>
  <c r="CF61" i="2"/>
  <c r="CE29" i="2"/>
  <c r="CF29" i="2"/>
  <c r="CE27" i="2"/>
  <c r="CF27" i="2"/>
  <c r="CE51" i="2"/>
  <c r="CF51" i="2"/>
  <c r="CF31" i="2"/>
  <c r="CE31" i="2"/>
  <c r="CF39" i="2"/>
  <c r="CE39" i="2"/>
  <c r="CF55" i="2"/>
  <c r="CE55" i="2"/>
  <c r="CE57" i="2"/>
  <c r="CF57" i="2"/>
  <c r="CE65" i="2"/>
  <c r="CF65" i="2"/>
  <c r="CE43" i="2"/>
  <c r="CF43" i="2"/>
  <c r="CE59" i="2"/>
  <c r="CF59" i="2"/>
  <c r="CE41" i="2"/>
  <c r="CF41" i="2"/>
  <c r="CE53" i="2"/>
  <c r="CF53" i="2"/>
  <c r="CE35" i="2"/>
  <c r="CF35" i="2"/>
  <c r="Q20" i="2"/>
  <c r="N20" i="2"/>
  <c r="M40" i="2"/>
  <c r="L40" i="2"/>
  <c r="M36" i="2"/>
  <c r="L36" i="2"/>
  <c r="P20" i="2"/>
  <c r="M28" i="2"/>
  <c r="M32" i="2"/>
  <c r="K24" i="2"/>
  <c r="M24" i="2"/>
  <c r="K32" i="2"/>
  <c r="K28" i="2"/>
  <c r="J24" i="2"/>
  <c r="L22" i="2"/>
  <c r="K22" i="2"/>
  <c r="L20" i="2"/>
  <c r="K20" i="2"/>
  <c r="AA13" i="2" l="1"/>
  <c r="DG35" i="2"/>
  <c r="AE24" i="2"/>
  <c r="DG31" i="2"/>
  <c r="Z13" i="2"/>
  <c r="DG29" i="2"/>
  <c r="Y13" i="2"/>
  <c r="DG21" i="2"/>
  <c r="DG25" i="2"/>
  <c r="DG19" i="2"/>
  <c r="DG23" i="2"/>
  <c r="DG27" i="2"/>
  <c r="DA13" i="2" a="1"/>
  <c r="DA13" i="2" s="1"/>
  <c r="DA12" i="2" s="1"/>
  <c r="DB13" i="2" a="1"/>
  <c r="DB13" i="2" s="1"/>
  <c r="DB12" i="2" s="1"/>
  <c r="CU13" i="2" a="1"/>
  <c r="CU13" i="2" s="1"/>
  <c r="CU12" i="2" s="1"/>
  <c r="CT13" i="2" a="1"/>
  <c r="CT13" i="2" s="1"/>
  <c r="CT12" i="2" s="1"/>
  <c r="DI66" i="2" a="1"/>
  <c r="DI66" i="2" s="1"/>
  <c r="DI65" i="2" s="1"/>
  <c r="DI22" i="2" a="1"/>
  <c r="DI22" i="2" s="1"/>
  <c r="DI21" i="2" s="1"/>
  <c r="DI58" i="2" a="1"/>
  <c r="DI58" i="2" s="1"/>
  <c r="DI57" i="2" s="1"/>
  <c r="DI50" i="2" a="1"/>
  <c r="DI50" i="2" s="1"/>
  <c r="DI49" i="2" s="1"/>
  <c r="DI64" i="2" a="1"/>
  <c r="DI64" i="2" s="1"/>
  <c r="DI63" i="2" s="1"/>
  <c r="DI52" i="2" a="1"/>
  <c r="DI52" i="2" s="1"/>
  <c r="DI51" i="2" s="1"/>
  <c r="DI60" i="2" a="1"/>
  <c r="DI60" i="2" s="1"/>
  <c r="DI59" i="2" s="1"/>
  <c r="DI54" i="2" a="1"/>
  <c r="DI54" i="2" s="1"/>
  <c r="DI53" i="2" s="1"/>
  <c r="DI48" i="2" a="1"/>
  <c r="DI48" i="2" s="1"/>
  <c r="DI47" i="2" s="1"/>
  <c r="DI62" i="2" a="1"/>
  <c r="DI62" i="2" s="1"/>
  <c r="DI61" i="2" s="1"/>
  <c r="DI68" i="2" a="1"/>
  <c r="DI68" i="2" s="1"/>
  <c r="DI67" i="2" s="1"/>
  <c r="DI56" i="2" a="1"/>
  <c r="DI56" i="2" s="1"/>
  <c r="DI55" i="2" s="1"/>
  <c r="EI32" i="2"/>
  <c r="ES32" i="2"/>
  <c r="EU32" i="2"/>
  <c r="ET32" i="2"/>
  <c r="EO32" i="2"/>
  <c r="EV32" i="2"/>
  <c r="EL32" i="2"/>
  <c r="EZ32" i="2"/>
  <c r="EP32" i="2"/>
  <c r="EQ32" i="2"/>
  <c r="EM32" i="2"/>
  <c r="ER32" i="2"/>
  <c r="FB31" i="2"/>
  <c r="FF31" i="2"/>
  <c r="FC31" i="2"/>
  <c r="FG31" i="2"/>
  <c r="FE31" i="2"/>
  <c r="FD31" i="2"/>
  <c r="EX32" i="2"/>
  <c r="EN32" i="2"/>
  <c r="EY32" i="2"/>
  <c r="EK32" i="2"/>
  <c r="EH32" i="2"/>
  <c r="EW32" i="2"/>
  <c r="EJ32" i="2"/>
  <c r="EP33" i="2"/>
  <c r="EQ33" i="2"/>
  <c r="EX33" i="2"/>
  <c r="EJ33" i="2"/>
  <c r="EK33" i="2"/>
  <c r="EH33" i="2"/>
  <c r="EM33" i="2"/>
  <c r="EU33" i="2"/>
  <c r="ET33" i="2"/>
  <c r="EN33" i="2"/>
  <c r="EW33" i="2"/>
  <c r="EZ33" i="2"/>
  <c r="EY33" i="2"/>
  <c r="EV33" i="2"/>
  <c r="EL33" i="2"/>
  <c r="EO33" i="2"/>
  <c r="EI33" i="2"/>
  <c r="ER33" i="2"/>
  <c r="ES33" i="2"/>
  <c r="CF19" i="2"/>
  <c r="CE19" i="2"/>
  <c r="G23" i="2"/>
  <c r="DL24" i="2" s="1"/>
  <c r="DI24" i="2" s="1" a="1"/>
  <c r="DI24" i="2" s="1"/>
  <c r="DI23" i="2" s="1"/>
  <c r="DV69" i="2"/>
  <c r="DW69" i="2"/>
  <c r="EF32" i="2" l="1" a="1"/>
  <c r="EF32" i="2" s="1"/>
  <c r="EG33" i="2"/>
  <c r="EG34" i="2" s="1"/>
  <c r="BU33" i="2"/>
  <c r="F34" i="2" s="1"/>
  <c r="G25" i="2"/>
  <c r="DL26" i="2" s="1"/>
  <c r="DI26" i="2" s="1" a="1"/>
  <c r="DI26" i="2" s="1"/>
  <c r="DI25" i="2" s="1"/>
  <c r="A4" i="3"/>
  <c r="E7" i="3"/>
  <c r="L11" i="3"/>
  <c r="L10" i="3"/>
  <c r="L9" i="3"/>
  <c r="I11" i="3"/>
  <c r="I10" i="3"/>
  <c r="I9" i="3"/>
  <c r="G11" i="3"/>
  <c r="G10" i="3"/>
  <c r="G9" i="3"/>
  <c r="D11" i="3"/>
  <c r="D10" i="3"/>
  <c r="D9" i="3"/>
  <c r="EH34" i="2" l="1"/>
  <c r="EU34" i="2"/>
  <c r="EV34" i="2"/>
  <c r="EP34" i="2"/>
  <c r="EY34" i="2"/>
  <c r="EW34" i="2"/>
  <c r="EJ34" i="2"/>
  <c r="ES34" i="2"/>
  <c r="ER34" i="2"/>
  <c r="EN34" i="2"/>
  <c r="EM34" i="2"/>
  <c r="EK34" i="2"/>
  <c r="EI34" i="2"/>
  <c r="FB33" i="2"/>
  <c r="FF33" i="2"/>
  <c r="FE33" i="2"/>
  <c r="FC33" i="2"/>
  <c r="FG33" i="2"/>
  <c r="FD33" i="2"/>
  <c r="EQ34" i="2"/>
  <c r="EZ34" i="2"/>
  <c r="EX34" i="2"/>
  <c r="ET34" i="2"/>
  <c r="EM35" i="2"/>
  <c r="EO35" i="2"/>
  <c r="ET35" i="2"/>
  <c r="EJ35" i="2"/>
  <c r="EY35" i="2"/>
  <c r="EH35" i="2"/>
  <c r="EI35" i="2"/>
  <c r="EW35" i="2"/>
  <c r="EU35" i="2"/>
  <c r="ER35" i="2"/>
  <c r="EN35" i="2"/>
  <c r="EX35" i="2"/>
  <c r="EL35" i="2"/>
  <c r="EV35" i="2"/>
  <c r="EP35" i="2"/>
  <c r="EZ35" i="2"/>
  <c r="EK35" i="2"/>
  <c r="EQ35" i="2"/>
  <c r="ES35" i="2"/>
  <c r="EO34" i="2"/>
  <c r="EL34" i="2"/>
  <c r="G27" i="2"/>
  <c r="DL28" i="2" s="1"/>
  <c r="DI28" i="2" s="1" a="1"/>
  <c r="DI28" i="2" s="1"/>
  <c r="DI27" i="2" s="1"/>
  <c r="BS57" i="2"/>
  <c r="BS59" i="2"/>
  <c r="BS61" i="2"/>
  <c r="BS63" i="2"/>
  <c r="BS65" i="2"/>
  <c r="BX122" i="1"/>
  <c r="BY122" i="1" s="1"/>
  <c r="BX121" i="1"/>
  <c r="BY121" i="1" s="1"/>
  <c r="BX120" i="1"/>
  <c r="BY120" i="1" s="1"/>
  <c r="BX78" i="1"/>
  <c r="BY78" i="1" s="1"/>
  <c r="BX79" i="1"/>
  <c r="BY79" i="1" s="1"/>
  <c r="BX80" i="1"/>
  <c r="BY80" i="1" s="1"/>
  <c r="BX81" i="1"/>
  <c r="BY81" i="1" s="1"/>
  <c r="BX82" i="1"/>
  <c r="BY82" i="1" s="1"/>
  <c r="BX83" i="1"/>
  <c r="BY83" i="1" s="1"/>
  <c r="BX84" i="1"/>
  <c r="BY84" i="1" s="1"/>
  <c r="BX85" i="1"/>
  <c r="BY85" i="1" s="1"/>
  <c r="BX86" i="1"/>
  <c r="BY86" i="1" s="1"/>
  <c r="BX87" i="1"/>
  <c r="BY87" i="1" s="1"/>
  <c r="BX88" i="1"/>
  <c r="BY88" i="1" s="1"/>
  <c r="BX89" i="1"/>
  <c r="BY89" i="1" s="1"/>
  <c r="BX90" i="1"/>
  <c r="BY90" i="1" s="1"/>
  <c r="BX91" i="1"/>
  <c r="BY91" i="1" s="1"/>
  <c r="BX92" i="1"/>
  <c r="BY92" i="1" s="1"/>
  <c r="BX93" i="1"/>
  <c r="BY93" i="1" s="1"/>
  <c r="BX94" i="1"/>
  <c r="BY94" i="1" s="1"/>
  <c r="BX95" i="1"/>
  <c r="BY95" i="1" s="1"/>
  <c r="BX96" i="1"/>
  <c r="BY96" i="1" s="1"/>
  <c r="BX97" i="1"/>
  <c r="BY97" i="1" s="1"/>
  <c r="BX98" i="1"/>
  <c r="BY98" i="1" s="1"/>
  <c r="BX99" i="1"/>
  <c r="BY99" i="1" s="1"/>
  <c r="BX100" i="1"/>
  <c r="BY100" i="1" s="1"/>
  <c r="BX101" i="1"/>
  <c r="BY101" i="1" s="1"/>
  <c r="BX102" i="1"/>
  <c r="BY102" i="1" s="1"/>
  <c r="BX103" i="1"/>
  <c r="BY103" i="1" s="1"/>
  <c r="BX104" i="1"/>
  <c r="BY104" i="1" s="1"/>
  <c r="BX105" i="1"/>
  <c r="BY105" i="1" s="1"/>
  <c r="BX106" i="1"/>
  <c r="BY106" i="1" s="1"/>
  <c r="BX107" i="1"/>
  <c r="BY107" i="1" s="1"/>
  <c r="BX108" i="1"/>
  <c r="BY108" i="1" s="1"/>
  <c r="BX109" i="1"/>
  <c r="BY109" i="1" s="1"/>
  <c r="BX110" i="1"/>
  <c r="BY110" i="1" s="1"/>
  <c r="BX111" i="1"/>
  <c r="BY111" i="1" s="1"/>
  <c r="BX112" i="1"/>
  <c r="BY112" i="1" s="1"/>
  <c r="BX113" i="1"/>
  <c r="BY113" i="1" s="1"/>
  <c r="BX114" i="1"/>
  <c r="BY114" i="1" s="1"/>
  <c r="BX115" i="1"/>
  <c r="BY115" i="1" s="1"/>
  <c r="BX116" i="1"/>
  <c r="BY116" i="1" s="1"/>
  <c r="BX117" i="1"/>
  <c r="BY117" i="1" s="1"/>
  <c r="BX118" i="1"/>
  <c r="BY118" i="1" s="1"/>
  <c r="BX119" i="1"/>
  <c r="BY119" i="1" s="1"/>
  <c r="BX77" i="1"/>
  <c r="BY77" i="1" s="1"/>
  <c r="EF34" i="2" l="1" a="1"/>
  <c r="EF34" i="2" s="1"/>
  <c r="EG35" i="2"/>
  <c r="EG36" i="2" s="1"/>
  <c r="BU35" i="2"/>
  <c r="F36" i="2" s="1"/>
  <c r="G29" i="2"/>
  <c r="DL30" i="2" s="1"/>
  <c r="DI30" i="2" s="1" a="1"/>
  <c r="DI30" i="2" s="1"/>
  <c r="DI29" i="2" s="1"/>
  <c r="A5" i="3"/>
  <c r="C43" i="3" s="1"/>
  <c r="K5" i="2"/>
  <c r="L5" i="2"/>
  <c r="E5" i="3" s="1"/>
  <c r="EO36" i="2" l="1"/>
  <c r="EH36" i="2"/>
  <c r="EI36" i="2"/>
  <c r="EY36" i="2"/>
  <c r="EL36" i="2"/>
  <c r="ES36" i="2"/>
  <c r="EX36" i="2"/>
  <c r="EP36" i="2"/>
  <c r="EN36" i="2"/>
  <c r="ET36" i="2"/>
  <c r="EM36" i="2"/>
  <c r="EQ36" i="2"/>
  <c r="EK36" i="2"/>
  <c r="ER36" i="2"/>
  <c r="EU36" i="2"/>
  <c r="EJ36" i="2"/>
  <c r="EW36" i="2"/>
  <c r="EV36" i="2"/>
  <c r="EZ36" i="2"/>
  <c r="FD35" i="2"/>
  <c r="FF35" i="2"/>
  <c r="FG35" i="2"/>
  <c r="FE35" i="2"/>
  <c r="FB35" i="2"/>
  <c r="FC35" i="2"/>
  <c r="EH37" i="2"/>
  <c r="EP37" i="2"/>
  <c r="EV37" i="2"/>
  <c r="EI37" i="2"/>
  <c r="ER37" i="2"/>
  <c r="EQ37" i="2"/>
  <c r="EK37" i="2"/>
  <c r="EZ37" i="2"/>
  <c r="EN37" i="2"/>
  <c r="EX37" i="2"/>
  <c r="EY37" i="2"/>
  <c r="EJ37" i="2"/>
  <c r="EO37" i="2"/>
  <c r="EL37" i="2"/>
  <c r="EM37" i="2"/>
  <c r="EU37" i="2"/>
  <c r="EW37" i="2"/>
  <c r="ET37" i="2"/>
  <c r="ES37" i="2"/>
  <c r="G31" i="2"/>
  <c r="D43" i="3"/>
  <c r="K8" i="2"/>
  <c r="K7" i="2"/>
  <c r="FL25" i="2"/>
  <c r="FL27" i="2"/>
  <c r="FL29" i="2"/>
  <c r="FL31" i="2"/>
  <c r="FL33" i="2"/>
  <c r="FL35" i="2"/>
  <c r="FL37" i="2"/>
  <c r="FL39" i="2"/>
  <c r="FL41" i="2"/>
  <c r="FL43" i="2"/>
  <c r="FL45" i="2"/>
  <c r="FL47" i="2"/>
  <c r="FL49" i="2"/>
  <c r="FL51" i="2"/>
  <c r="FL53" i="2"/>
  <c r="FL55" i="2"/>
  <c r="FL57" i="2"/>
  <c r="FL59" i="2"/>
  <c r="FL61" i="2"/>
  <c r="FL63" i="2"/>
  <c r="FL65" i="2"/>
  <c r="FL67" i="2"/>
  <c r="FL19" i="2"/>
  <c r="CC69" i="2"/>
  <c r="CD69" i="2"/>
  <c r="CE69" i="2"/>
  <c r="CF69" i="2"/>
  <c r="CG69" i="2"/>
  <c r="CH69" i="2"/>
  <c r="CI69" i="2"/>
  <c r="CJ69" i="2"/>
  <c r="CK69" i="2"/>
  <c r="CL69" i="2"/>
  <c r="CM69" i="2"/>
  <c r="CN69" i="2"/>
  <c r="CP69" i="2" s="1"/>
  <c r="CQ69" i="2"/>
  <c r="DK69" i="2"/>
  <c r="DX69" i="2"/>
  <c r="DY69" i="2"/>
  <c r="DZ69" i="2"/>
  <c r="E12" i="3"/>
  <c r="G8" i="2"/>
  <c r="G7" i="2"/>
  <c r="D8" i="3"/>
  <c r="P5" i="2"/>
  <c r="G8" i="3" s="1"/>
  <c r="E13" i="3"/>
  <c r="E6" i="3"/>
  <c r="M7" i="2"/>
  <c r="DL32" i="2" l="1"/>
  <c r="DI32" i="2" s="1" a="1"/>
  <c r="DI32" i="2" s="1"/>
  <c r="DI31" i="2" s="1"/>
  <c r="EF36" i="2" a="1"/>
  <c r="EF36" i="2" s="1"/>
  <c r="E16" i="3"/>
  <c r="EG37" i="2"/>
  <c r="EG38" i="2" s="1"/>
  <c r="BU37" i="2"/>
  <c r="F38" i="2" s="1"/>
  <c r="G33" i="2"/>
  <c r="DL34" i="2" s="1"/>
  <c r="DI34" i="2" s="1" a="1"/>
  <c r="DI34" i="2" s="1"/>
  <c r="DI33" i="2" s="1"/>
  <c r="BV69" i="2"/>
  <c r="CB69" i="2"/>
  <c r="CA69" i="2"/>
  <c r="BZ69" i="2"/>
  <c r="BX69" i="2"/>
  <c r="G69" i="2"/>
  <c r="C16" i="3"/>
  <c r="EZ38" i="2" l="1"/>
  <c r="EN38" i="2"/>
  <c r="EO38" i="2"/>
  <c r="ES38" i="2"/>
  <c r="EY38" i="2"/>
  <c r="EX38" i="2"/>
  <c r="EH38" i="2"/>
  <c r="EP38" i="2"/>
  <c r="EW38" i="2"/>
  <c r="EU38" i="2"/>
  <c r="EV38" i="2"/>
  <c r="EL38" i="2"/>
  <c r="EQ38" i="2"/>
  <c r="ER38" i="2"/>
  <c r="EI38" i="2"/>
  <c r="EM38" i="2"/>
  <c r="EK38" i="2"/>
  <c r="ET38" i="2"/>
  <c r="EJ38" i="2"/>
  <c r="FB37" i="2"/>
  <c r="FF37" i="2"/>
  <c r="FC37" i="2"/>
  <c r="FG37" i="2"/>
  <c r="FD37" i="2"/>
  <c r="FE37" i="2"/>
  <c r="EO39" i="2"/>
  <c r="EQ39" i="2"/>
  <c r="EN39" i="2"/>
  <c r="EZ39" i="2"/>
  <c r="EL39" i="2"/>
  <c r="EJ39" i="2"/>
  <c r="EY39" i="2"/>
  <c r="EX39" i="2"/>
  <c r="EV39" i="2"/>
  <c r="ET39" i="2"/>
  <c r="EW39" i="2"/>
  <c r="EU39" i="2"/>
  <c r="EM39" i="2"/>
  <c r="EH39" i="2"/>
  <c r="EK39" i="2"/>
  <c r="EP39" i="2"/>
  <c r="ER39" i="2"/>
  <c r="EI39" i="2"/>
  <c r="ES39" i="2"/>
  <c r="G35" i="2"/>
  <c r="BU5" i="1"/>
  <c r="BU7" i="1"/>
  <c r="BU9" i="1"/>
  <c r="G37" i="2" l="1"/>
  <c r="DL38" i="2" s="1"/>
  <c r="DI38" i="2" s="1" a="1"/>
  <c r="DI38" i="2" s="1"/>
  <c r="DI37" i="2" s="1"/>
  <c r="DL36" i="2"/>
  <c r="DI36" i="2" s="1" a="1"/>
  <c r="DI36" i="2" s="1"/>
  <c r="DI35" i="2" s="1"/>
  <c r="EF38" i="2" a="1"/>
  <c r="EF38" i="2" s="1"/>
  <c r="EG39" i="2"/>
  <c r="EG40" i="2" s="1"/>
  <c r="BU39" i="2"/>
  <c r="F40" i="2" s="1"/>
  <c r="C17" i="3"/>
  <c r="FN63" i="2"/>
  <c r="FN61" i="2"/>
  <c r="FN59" i="2"/>
  <c r="FN57" i="2"/>
  <c r="FN55" i="2"/>
  <c r="FN67" i="2"/>
  <c r="FN53" i="2"/>
  <c r="FN65" i="2"/>
  <c r="FN51" i="2"/>
  <c r="FN49" i="2"/>
  <c r="FN47" i="2"/>
  <c r="FN45" i="2"/>
  <c r="FN43" i="2"/>
  <c r="FN39" i="2"/>
  <c r="FN35" i="2"/>
  <c r="FN31" i="2"/>
  <c r="FN27" i="2"/>
  <c r="FN19" i="2"/>
  <c r="FN23" i="2"/>
  <c r="FN25" i="2"/>
  <c r="BV57" i="2"/>
  <c r="FN41" i="2"/>
  <c r="FN37" i="2"/>
  <c r="FN33" i="2"/>
  <c r="FN29" i="2"/>
  <c r="FN21" i="2"/>
  <c r="EJ40" i="2" l="1"/>
  <c r="G39" i="2"/>
  <c r="DL40" i="2" s="1"/>
  <c r="DI40" i="2" s="1" a="1"/>
  <c r="DI40" i="2" s="1"/>
  <c r="DI39" i="2" s="1"/>
  <c r="EZ40" i="2"/>
  <c r="ET40" i="2"/>
  <c r="EX40" i="2"/>
  <c r="EY40" i="2"/>
  <c r="EH40" i="2"/>
  <c r="EM40" i="2"/>
  <c r="EN40" i="2"/>
  <c r="EW40" i="2"/>
  <c r="EQ40" i="2"/>
  <c r="EO40" i="2"/>
  <c r="EK40" i="2"/>
  <c r="EI40" i="2"/>
  <c r="EV40" i="2"/>
  <c r="FP14" i="2"/>
  <c r="FM14" i="2"/>
  <c r="FL14" i="2"/>
  <c r="FN14" i="2"/>
  <c r="FO14" i="2"/>
  <c r="ES40" i="2"/>
  <c r="EL40" i="2"/>
  <c r="ER40" i="2"/>
  <c r="EU40" i="2"/>
  <c r="EP40" i="2"/>
  <c r="FD39" i="2"/>
  <c r="FB39" i="2"/>
  <c r="FC39" i="2"/>
  <c r="FE39" i="2"/>
  <c r="FF39" i="2"/>
  <c r="FG39" i="2"/>
  <c r="EI41" i="2"/>
  <c r="EM41" i="2"/>
  <c r="ES41" i="2"/>
  <c r="EX41" i="2"/>
  <c r="EJ41" i="2"/>
  <c r="EN41" i="2"/>
  <c r="ER41" i="2"/>
  <c r="EO41" i="2"/>
  <c r="EU41" i="2"/>
  <c r="ET41" i="2"/>
  <c r="EL41" i="2"/>
  <c r="EW41" i="2"/>
  <c r="EQ41" i="2"/>
  <c r="EP41" i="2"/>
  <c r="EH41" i="2"/>
  <c r="EV41" i="2"/>
  <c r="EK41" i="2"/>
  <c r="EZ41" i="2"/>
  <c r="EY41" i="2"/>
  <c r="C18" i="3"/>
  <c r="BS23" i="2"/>
  <c r="BS25" i="2"/>
  <c r="BS27" i="2"/>
  <c r="BS29" i="2"/>
  <c r="BS31" i="2"/>
  <c r="BS33" i="2"/>
  <c r="BS35" i="2"/>
  <c r="BS37" i="2"/>
  <c r="BS39" i="2"/>
  <c r="BS41" i="2"/>
  <c r="BS43" i="2"/>
  <c r="BS45" i="2"/>
  <c r="BS47" i="2"/>
  <c r="BV47" i="2" s="1"/>
  <c r="BS49" i="2"/>
  <c r="BS51" i="2"/>
  <c r="BS53" i="2"/>
  <c r="BV53" i="2" s="1"/>
  <c r="BS55" i="2"/>
  <c r="BV55" i="2" s="1"/>
  <c r="BS21" i="2"/>
  <c r="BS19" i="2"/>
  <c r="BR9" i="2"/>
  <c r="BS8" i="2"/>
  <c r="BS7" i="2"/>
  <c r="N43" i="1"/>
  <c r="BV51" i="2" l="1"/>
  <c r="BV49" i="2"/>
  <c r="W12" i="2"/>
  <c r="V12" i="2"/>
  <c r="G41" i="2"/>
  <c r="G43" i="2" s="1"/>
  <c r="S11" i="2"/>
  <c r="S12" i="2"/>
  <c r="U12" i="2"/>
  <c r="T12" i="2"/>
  <c r="EF40" i="2" a="1"/>
  <c r="EF40" i="2" s="1"/>
  <c r="EG41" i="2"/>
  <c r="EG42" i="2" s="1"/>
  <c r="BU41" i="2"/>
  <c r="F42" i="2" s="1"/>
  <c r="X12" i="2"/>
  <c r="D1" i="6"/>
  <c r="D9" i="6" s="1"/>
  <c r="Q12" i="2"/>
  <c r="P12" i="2"/>
  <c r="BS15" i="2"/>
  <c r="D11" i="1" s="1"/>
  <c r="E11" i="1" s="1"/>
  <c r="L12" i="2"/>
  <c r="O12" i="2"/>
  <c r="K12" i="2"/>
  <c r="N12" i="2"/>
  <c r="M12" i="2"/>
  <c r="H12" i="2"/>
  <c r="B1" i="7"/>
  <c r="B1" i="6"/>
  <c r="C19" i="3"/>
  <c r="BS11" i="2"/>
  <c r="C14" i="2"/>
  <c r="A19" i="2" s="1"/>
  <c r="A21" i="2" s="1"/>
  <c r="A23" i="2" s="1"/>
  <c r="C12" i="2"/>
  <c r="I12" i="2"/>
  <c r="J12" i="2"/>
  <c r="D14" i="2"/>
  <c r="B19" i="2" s="1"/>
  <c r="B21" i="2" s="1"/>
  <c r="BS17" i="2"/>
  <c r="FL21" i="2" s="1"/>
  <c r="BS14" i="2"/>
  <c r="BR14" i="2" s="1"/>
  <c r="BS12" i="2" s="1"/>
  <c r="BR15" i="2"/>
  <c r="A284" i="6" l="1"/>
  <c r="A288" i="6"/>
  <c r="A292" i="6"/>
  <c r="A296" i="6"/>
  <c r="A300" i="6"/>
  <c r="A304" i="6"/>
  <c r="A308" i="6"/>
  <c r="A312" i="6"/>
  <c r="A316" i="6"/>
  <c r="A320" i="6"/>
  <c r="A324" i="6"/>
  <c r="A328" i="6"/>
  <c r="A332" i="6"/>
  <c r="A336" i="6"/>
  <c r="A340" i="6"/>
  <c r="A344" i="6"/>
  <c r="A348" i="6"/>
  <c r="A352" i="6"/>
  <c r="A356" i="6"/>
  <c r="A360" i="6"/>
  <c r="A364" i="6"/>
  <c r="A368" i="6"/>
  <c r="A372" i="6"/>
  <c r="A376" i="6"/>
  <c r="A380" i="6"/>
  <c r="A384" i="6"/>
  <c r="A388" i="6"/>
  <c r="A392" i="6"/>
  <c r="A396" i="6"/>
  <c r="A400" i="6"/>
  <c r="A404" i="6"/>
  <c r="A408" i="6"/>
  <c r="A412" i="6"/>
  <c r="A416" i="6"/>
  <c r="A420" i="6"/>
  <c r="A424" i="6"/>
  <c r="A428" i="6"/>
  <c r="A432" i="6"/>
  <c r="A436" i="6"/>
  <c r="A440" i="6"/>
  <c r="A444" i="6"/>
  <c r="A448" i="6"/>
  <c r="A452" i="6"/>
  <c r="A456" i="6"/>
  <c r="A460" i="6"/>
  <c r="A464" i="6"/>
  <c r="A468" i="6"/>
  <c r="A472" i="6"/>
  <c r="A476" i="6"/>
  <c r="A480" i="6"/>
  <c r="A7" i="6"/>
  <c r="A11" i="6"/>
  <c r="A15" i="6"/>
  <c r="A19" i="6"/>
  <c r="A23" i="6"/>
  <c r="A27" i="6"/>
  <c r="A31" i="6"/>
  <c r="A35" i="6"/>
  <c r="A39" i="6"/>
  <c r="A43" i="6"/>
  <c r="A47" i="6"/>
  <c r="A51" i="6"/>
  <c r="A55" i="6"/>
  <c r="A59" i="6"/>
  <c r="A63" i="6"/>
  <c r="A67" i="6"/>
  <c r="A71" i="6"/>
  <c r="A75" i="6"/>
  <c r="A79" i="6"/>
  <c r="A83" i="6"/>
  <c r="A87" i="6"/>
  <c r="A91" i="6"/>
  <c r="A95" i="6"/>
  <c r="A99" i="6"/>
  <c r="A103" i="6"/>
  <c r="A107" i="6"/>
  <c r="A111" i="6"/>
  <c r="A115" i="6"/>
  <c r="A119" i="6"/>
  <c r="A123" i="6"/>
  <c r="A127" i="6"/>
  <c r="A131" i="6"/>
  <c r="A135" i="6"/>
  <c r="A139" i="6"/>
  <c r="A143" i="6"/>
  <c r="A285" i="6"/>
  <c r="A289" i="6"/>
  <c r="A293" i="6"/>
  <c r="A297" i="6"/>
  <c r="A301" i="6"/>
  <c r="A305" i="6"/>
  <c r="A309" i="6"/>
  <c r="A313" i="6"/>
  <c r="A317" i="6"/>
  <c r="A321" i="6"/>
  <c r="A325" i="6"/>
  <c r="A329" i="6"/>
  <c r="A333" i="6"/>
  <c r="A337" i="6"/>
  <c r="A341" i="6"/>
  <c r="A345" i="6"/>
  <c r="A349" i="6"/>
  <c r="A353" i="6"/>
  <c r="A357" i="6"/>
  <c r="A361" i="6"/>
  <c r="A365" i="6"/>
  <c r="A369" i="6"/>
  <c r="A373" i="6"/>
  <c r="A377" i="6"/>
  <c r="A381" i="6"/>
  <c r="A385" i="6"/>
  <c r="A389" i="6"/>
  <c r="A393" i="6"/>
  <c r="A397" i="6"/>
  <c r="A401" i="6"/>
  <c r="A405" i="6"/>
  <c r="A409" i="6"/>
  <c r="A413" i="6"/>
  <c r="A417" i="6"/>
  <c r="A421" i="6"/>
  <c r="A425" i="6"/>
  <c r="A429" i="6"/>
  <c r="A433" i="6"/>
  <c r="A437" i="6"/>
  <c r="A441" i="6"/>
  <c r="A445" i="6"/>
  <c r="A449" i="6"/>
  <c r="A453" i="6"/>
  <c r="A457" i="6"/>
  <c r="A461" i="6"/>
  <c r="A465" i="6"/>
  <c r="A469" i="6"/>
  <c r="A473" i="6"/>
  <c r="A477" i="6"/>
  <c r="A481" i="6"/>
  <c r="A8" i="6"/>
  <c r="A12" i="6"/>
  <c r="A16" i="6"/>
  <c r="A20" i="6"/>
  <c r="A24" i="6"/>
  <c r="A28" i="6"/>
  <c r="A32" i="6"/>
  <c r="A36" i="6"/>
  <c r="A40" i="6"/>
  <c r="A44" i="6"/>
  <c r="A48" i="6"/>
  <c r="A52" i="6"/>
  <c r="A56" i="6"/>
  <c r="A60" i="6"/>
  <c r="A64" i="6"/>
  <c r="A68" i="6"/>
  <c r="A72" i="6"/>
  <c r="A76" i="6"/>
  <c r="A80" i="6"/>
  <c r="A84" i="6"/>
  <c r="A88" i="6"/>
  <c r="A92" i="6"/>
  <c r="A96" i="6"/>
  <c r="A100" i="6"/>
  <c r="A104" i="6"/>
  <c r="A108" i="6"/>
  <c r="A112" i="6"/>
  <c r="A116" i="6"/>
  <c r="A120" i="6"/>
  <c r="A124" i="6"/>
  <c r="A128" i="6"/>
  <c r="A132" i="6"/>
  <c r="A136" i="6"/>
  <c r="A140" i="6"/>
  <c r="A144" i="6"/>
  <c r="A286" i="6"/>
  <c r="A294" i="6"/>
  <c r="A302" i="6"/>
  <c r="A310" i="6"/>
  <c r="A318" i="6"/>
  <c r="A326" i="6"/>
  <c r="A334" i="6"/>
  <c r="A342" i="6"/>
  <c r="A350" i="6"/>
  <c r="A358" i="6"/>
  <c r="A366" i="6"/>
  <c r="A374" i="6"/>
  <c r="A382" i="6"/>
  <c r="A390" i="6"/>
  <c r="A398" i="6"/>
  <c r="A406" i="6"/>
  <c r="A414" i="6"/>
  <c r="A422" i="6"/>
  <c r="A430" i="6"/>
  <c r="A438" i="6"/>
  <c r="A446" i="6"/>
  <c r="A454" i="6"/>
  <c r="A462" i="6"/>
  <c r="A470" i="6"/>
  <c r="A478" i="6"/>
  <c r="A9" i="6"/>
  <c r="A17" i="6"/>
  <c r="A25" i="6"/>
  <c r="A33" i="6"/>
  <c r="A41" i="6"/>
  <c r="A49" i="6"/>
  <c r="A57" i="6"/>
  <c r="A65" i="6"/>
  <c r="A73" i="6"/>
  <c r="A81" i="6"/>
  <c r="A89" i="6"/>
  <c r="A97" i="6"/>
  <c r="A105" i="6"/>
  <c r="A113" i="6"/>
  <c r="A121" i="6"/>
  <c r="A129" i="6"/>
  <c r="A137" i="6"/>
  <c r="A145" i="6"/>
  <c r="A149" i="6"/>
  <c r="A153" i="6"/>
  <c r="A157" i="6"/>
  <c r="A161" i="6"/>
  <c r="A165" i="6"/>
  <c r="A169" i="6"/>
  <c r="A173" i="6"/>
  <c r="A177" i="6"/>
  <c r="A181" i="6"/>
  <c r="A185" i="6"/>
  <c r="A189" i="6"/>
  <c r="A193" i="6"/>
  <c r="A197" i="6"/>
  <c r="A201" i="6"/>
  <c r="A205" i="6"/>
  <c r="A209" i="6"/>
  <c r="A213" i="6"/>
  <c r="A217" i="6"/>
  <c r="A221" i="6"/>
  <c r="A225" i="6"/>
  <c r="A229" i="6"/>
  <c r="A233" i="6"/>
  <c r="A237" i="6"/>
  <c r="A241" i="6"/>
  <c r="A245" i="6"/>
  <c r="A249" i="6"/>
  <c r="A253" i="6"/>
  <c r="A257" i="6"/>
  <c r="A261" i="6"/>
  <c r="A265" i="6"/>
  <c r="A269" i="6"/>
  <c r="A273" i="6"/>
  <c r="A277" i="6"/>
  <c r="A281" i="6"/>
  <c r="A287" i="6"/>
  <c r="A295" i="6"/>
  <c r="A303" i="6"/>
  <c r="A311" i="6"/>
  <c r="A319" i="6"/>
  <c r="A327" i="6"/>
  <c r="A335" i="6"/>
  <c r="A343" i="6"/>
  <c r="A351" i="6"/>
  <c r="A359" i="6"/>
  <c r="A367" i="6"/>
  <c r="A375" i="6"/>
  <c r="A383" i="6"/>
  <c r="A391" i="6"/>
  <c r="A399" i="6"/>
  <c r="A407" i="6"/>
  <c r="A415" i="6"/>
  <c r="A423" i="6"/>
  <c r="A431" i="6"/>
  <c r="A439" i="6"/>
  <c r="A447" i="6"/>
  <c r="A455" i="6"/>
  <c r="A463" i="6"/>
  <c r="A471" i="6"/>
  <c r="A479" i="6"/>
  <c r="A10" i="6"/>
  <c r="A18" i="6"/>
  <c r="A26" i="6"/>
  <c r="A34" i="6"/>
  <c r="A42" i="6"/>
  <c r="A50" i="6"/>
  <c r="A58" i="6"/>
  <c r="A66" i="6"/>
  <c r="A74" i="6"/>
  <c r="A82" i="6"/>
  <c r="A90" i="6"/>
  <c r="A98" i="6"/>
  <c r="A106" i="6"/>
  <c r="A114" i="6"/>
  <c r="A122" i="6"/>
  <c r="A130" i="6"/>
  <c r="A138" i="6"/>
  <c r="A146" i="6"/>
  <c r="A150" i="6"/>
  <c r="A154" i="6"/>
  <c r="A158" i="6"/>
  <c r="A162" i="6"/>
  <c r="A166" i="6"/>
  <c r="A170" i="6"/>
  <c r="A174" i="6"/>
  <c r="A178" i="6"/>
  <c r="A182" i="6"/>
  <c r="A186" i="6"/>
  <c r="A190" i="6"/>
  <c r="A194" i="6"/>
  <c r="A198" i="6"/>
  <c r="A202" i="6"/>
  <c r="A206" i="6"/>
  <c r="A210" i="6"/>
  <c r="A214" i="6"/>
  <c r="A218" i="6"/>
  <c r="A222" i="6"/>
  <c r="A226" i="6"/>
  <c r="A230" i="6"/>
  <c r="A234" i="6"/>
  <c r="A238" i="6"/>
  <c r="A242" i="6"/>
  <c r="A246" i="6"/>
  <c r="A250" i="6"/>
  <c r="A254" i="6"/>
  <c r="A258" i="6"/>
  <c r="A262" i="6"/>
  <c r="A266" i="6"/>
  <c r="A270" i="6"/>
  <c r="A274" i="6"/>
  <c r="A278" i="6"/>
  <c r="A282" i="6"/>
  <c r="A290" i="6"/>
  <c r="A298" i="6"/>
  <c r="A306" i="6"/>
  <c r="A314" i="6"/>
  <c r="A322" i="6"/>
  <c r="A330" i="6"/>
  <c r="A338" i="6"/>
  <c r="A346" i="6"/>
  <c r="A354" i="6"/>
  <c r="A362" i="6"/>
  <c r="A370" i="6"/>
  <c r="A378" i="6"/>
  <c r="A386" i="6"/>
  <c r="A394" i="6"/>
  <c r="A402" i="6"/>
  <c r="A410" i="6"/>
  <c r="A418" i="6"/>
  <c r="A426" i="6"/>
  <c r="A434" i="6"/>
  <c r="A442" i="6"/>
  <c r="A450" i="6"/>
  <c r="A458" i="6"/>
  <c r="A466" i="6"/>
  <c r="A474" i="6"/>
  <c r="A5" i="6"/>
  <c r="A13" i="6"/>
  <c r="A21" i="6"/>
  <c r="A29" i="6"/>
  <c r="A37" i="6"/>
  <c r="A45" i="6"/>
  <c r="A53" i="6"/>
  <c r="A61" i="6"/>
  <c r="A69" i="6"/>
  <c r="A77" i="6"/>
  <c r="A85" i="6"/>
  <c r="A93" i="6"/>
  <c r="A101" i="6"/>
  <c r="A109" i="6"/>
  <c r="A117" i="6"/>
  <c r="A125" i="6"/>
  <c r="A133" i="6"/>
  <c r="A141" i="6"/>
  <c r="A147" i="6"/>
  <c r="A151" i="6"/>
  <c r="A155" i="6"/>
  <c r="A159" i="6"/>
  <c r="A163" i="6"/>
  <c r="A167" i="6"/>
  <c r="A171" i="6"/>
  <c r="A175" i="6"/>
  <c r="A179" i="6"/>
  <c r="A183" i="6"/>
  <c r="A187" i="6"/>
  <c r="A191" i="6"/>
  <c r="A195" i="6"/>
  <c r="A199" i="6"/>
  <c r="A203" i="6"/>
  <c r="A207" i="6"/>
  <c r="A211" i="6"/>
  <c r="A215" i="6"/>
  <c r="A219" i="6"/>
  <c r="A223" i="6"/>
  <c r="A227" i="6"/>
  <c r="A231" i="6"/>
  <c r="A235" i="6"/>
  <c r="A239" i="6"/>
  <c r="A243" i="6"/>
  <c r="A247" i="6"/>
  <c r="A251" i="6"/>
  <c r="A255" i="6"/>
  <c r="A259" i="6"/>
  <c r="A263" i="6"/>
  <c r="A267" i="6"/>
  <c r="A271" i="6"/>
  <c r="A275" i="6"/>
  <c r="A279" i="6"/>
  <c r="A283" i="6"/>
  <c r="A291" i="6"/>
  <c r="A307" i="6"/>
  <c r="A315" i="6"/>
  <c r="A323" i="6"/>
  <c r="A331" i="6"/>
  <c r="A339" i="6"/>
  <c r="A347" i="6"/>
  <c r="A355" i="6"/>
  <c r="A299" i="6"/>
  <c r="A387" i="6"/>
  <c r="A419" i="6"/>
  <c r="A451" i="6"/>
  <c r="A6" i="6"/>
  <c r="A38" i="6"/>
  <c r="A70" i="6"/>
  <c r="A102" i="6"/>
  <c r="A134" i="6"/>
  <c r="A156" i="6"/>
  <c r="A172" i="6"/>
  <c r="A188" i="6"/>
  <c r="A204" i="6"/>
  <c r="A220" i="6"/>
  <c r="A236" i="6"/>
  <c r="A252" i="6"/>
  <c r="A268" i="6"/>
  <c r="A4" i="6"/>
  <c r="A363" i="6"/>
  <c r="A395" i="6"/>
  <c r="A427" i="6"/>
  <c r="A459" i="6"/>
  <c r="A14" i="6"/>
  <c r="A46" i="6"/>
  <c r="A78" i="6"/>
  <c r="A110" i="6"/>
  <c r="A142" i="6"/>
  <c r="A160" i="6"/>
  <c r="A176" i="6"/>
  <c r="A192" i="6"/>
  <c r="A208" i="6"/>
  <c r="A224" i="6"/>
  <c r="A240" i="6"/>
  <c r="A256" i="6"/>
  <c r="A272" i="6"/>
  <c r="A371" i="6"/>
  <c r="A403" i="6"/>
  <c r="A435" i="6"/>
  <c r="A467" i="6"/>
  <c r="A22" i="6"/>
  <c r="A54" i="6"/>
  <c r="A86" i="6"/>
  <c r="A118" i="6"/>
  <c r="A148" i="6"/>
  <c r="A164" i="6"/>
  <c r="A180" i="6"/>
  <c r="A196" i="6"/>
  <c r="A212" i="6"/>
  <c r="A228" i="6"/>
  <c r="A244" i="6"/>
  <c r="A260" i="6"/>
  <c r="A276" i="6"/>
  <c r="A379" i="6"/>
  <c r="A411" i="6"/>
  <c r="A443" i="6"/>
  <c r="A475" i="6"/>
  <c r="A30" i="6"/>
  <c r="A62" i="6"/>
  <c r="A94" i="6"/>
  <c r="A126" i="6"/>
  <c r="A152" i="6"/>
  <c r="A168" i="6"/>
  <c r="A184" i="6"/>
  <c r="A200" i="6"/>
  <c r="A216" i="6"/>
  <c r="A232" i="6"/>
  <c r="A248" i="6"/>
  <c r="A264" i="6"/>
  <c r="A280" i="6"/>
  <c r="G45" i="2"/>
  <c r="AM76" i="2" s="1"/>
  <c r="DL44" i="2"/>
  <c r="DI44" i="2" s="1" a="1"/>
  <c r="DI44" i="2" s="1"/>
  <c r="DI43" i="2" s="1"/>
  <c r="DL42" i="2"/>
  <c r="DI42" i="2" s="1" a="1"/>
  <c r="DI42" i="2" s="1"/>
  <c r="DI41" i="2" s="1"/>
  <c r="EW42" i="2"/>
  <c r="EZ42" i="2"/>
  <c r="EI42" i="2"/>
  <c r="ES42" i="2"/>
  <c r="EN42" i="2"/>
  <c r="EV42" i="2"/>
  <c r="EJ42" i="2"/>
  <c r="EL42" i="2"/>
  <c r="EU42" i="2"/>
  <c r="EX42" i="2"/>
  <c r="ET42" i="2"/>
  <c r="EQ42" i="2"/>
  <c r="EY42" i="2"/>
  <c r="ER42" i="2"/>
  <c r="EK42" i="2"/>
  <c r="EH42" i="2"/>
  <c r="EP42" i="2"/>
  <c r="EM42" i="2"/>
  <c r="EO42" i="2"/>
  <c r="FB41" i="2"/>
  <c r="FF41" i="2"/>
  <c r="FD41" i="2"/>
  <c r="FE41" i="2"/>
  <c r="FC41" i="2"/>
  <c r="FG41" i="2"/>
  <c r="EZ43" i="2"/>
  <c r="EU43" i="2"/>
  <c r="EH43" i="2"/>
  <c r="EW43" i="2"/>
  <c r="ES43" i="2"/>
  <c r="EM43" i="2"/>
  <c r="EQ43" i="2"/>
  <c r="EI43" i="2"/>
  <c r="EV43" i="2"/>
  <c r="ET43" i="2"/>
  <c r="EN43" i="2"/>
  <c r="EK43" i="2"/>
  <c r="EJ43" i="2"/>
  <c r="EY43" i="2"/>
  <c r="EP43" i="2"/>
  <c r="EO43" i="2"/>
  <c r="EL43" i="2"/>
  <c r="ER43" i="2"/>
  <c r="EX43" i="2"/>
  <c r="D381" i="6"/>
  <c r="E370" i="6"/>
  <c r="D400" i="6"/>
  <c r="E378" i="6"/>
  <c r="E400" i="6"/>
  <c r="D344" i="6"/>
  <c r="D320" i="6"/>
  <c r="E384" i="6"/>
  <c r="D352" i="6"/>
  <c r="D301" i="6"/>
  <c r="D218" i="6"/>
  <c r="E202" i="6"/>
  <c r="E394" i="6"/>
  <c r="D296" i="6"/>
  <c r="D210" i="6"/>
  <c r="E340" i="6"/>
  <c r="D373" i="6"/>
  <c r="D285" i="6"/>
  <c r="E392" i="6"/>
  <c r="D327" i="6"/>
  <c r="E314" i="6"/>
  <c r="D246" i="6"/>
  <c r="E344" i="6"/>
  <c r="E224" i="6"/>
  <c r="E386" i="6"/>
  <c r="E60" i="6"/>
  <c r="E270" i="6"/>
  <c r="E246" i="6"/>
  <c r="D325" i="6"/>
  <c r="D349" i="6"/>
  <c r="D254" i="6"/>
  <c r="E330" i="6"/>
  <c r="D350" i="6"/>
  <c r="D395" i="6"/>
  <c r="E240" i="6"/>
  <c r="D304" i="6"/>
  <c r="E338" i="6"/>
  <c r="D238" i="6"/>
  <c r="D309" i="6"/>
  <c r="D339" i="6"/>
  <c r="E336" i="6"/>
  <c r="E326" i="6"/>
  <c r="E182" i="6"/>
  <c r="D328" i="6"/>
  <c r="D222" i="6"/>
  <c r="D282" i="6"/>
  <c r="D318" i="6"/>
  <c r="E320" i="6"/>
  <c r="D392" i="6"/>
  <c r="E306" i="6"/>
  <c r="D164" i="6"/>
  <c r="D234" i="6"/>
  <c r="E278" i="6"/>
  <c r="D315" i="6"/>
  <c r="D394" i="6"/>
  <c r="E178" i="6"/>
  <c r="D391" i="6"/>
  <c r="E382" i="6"/>
  <c r="D343" i="6"/>
  <c r="D329" i="6"/>
  <c r="E244" i="6"/>
  <c r="D384" i="6"/>
  <c r="D288" i="6"/>
  <c r="D376" i="6"/>
  <c r="D333" i="6"/>
  <c r="E290" i="6"/>
  <c r="D230" i="6"/>
  <c r="D389" i="6"/>
  <c r="E298" i="6"/>
  <c r="D398" i="6"/>
  <c r="D323" i="6"/>
  <c r="E238" i="6"/>
  <c r="D379" i="6"/>
  <c r="E288" i="6"/>
  <c r="D386" i="6"/>
  <c r="E324" i="6"/>
  <c r="E186" i="6"/>
  <c r="D264" i="6"/>
  <c r="D382" i="6"/>
  <c r="D365" i="6"/>
  <c r="E322" i="6"/>
  <c r="D278" i="6"/>
  <c r="D214" i="6"/>
  <c r="D368" i="6"/>
  <c r="D274" i="6"/>
  <c r="D387" i="6"/>
  <c r="D302" i="6"/>
  <c r="E214" i="6"/>
  <c r="D358" i="6"/>
  <c r="E258" i="6"/>
  <c r="D367" i="6"/>
  <c r="D303" i="6"/>
  <c r="E52" i="6"/>
  <c r="D180" i="6"/>
  <c r="E230" i="6"/>
  <c r="D363" i="6"/>
  <c r="E282" i="6"/>
  <c r="D370" i="6"/>
  <c r="E308" i="6"/>
  <c r="D248" i="6"/>
  <c r="E346" i="6"/>
  <c r="D334" i="6"/>
  <c r="D360" i="6"/>
  <c r="D317" i="6"/>
  <c r="D270" i="6"/>
  <c r="D206" i="6"/>
  <c r="D357" i="6"/>
  <c r="D250" i="6"/>
  <c r="D371" i="6"/>
  <c r="E296" i="6"/>
  <c r="E206" i="6"/>
  <c r="E352" i="6"/>
  <c r="E226" i="6"/>
  <c r="E364" i="6"/>
  <c r="E284" i="6"/>
  <c r="E188" i="6"/>
  <c r="E90" i="6"/>
  <c r="E362" i="6"/>
  <c r="D336" i="6"/>
  <c r="D397" i="6"/>
  <c r="E354" i="6"/>
  <c r="D312" i="6"/>
  <c r="D262" i="6"/>
  <c r="E194" i="6"/>
  <c r="D341" i="6"/>
  <c r="D242" i="6"/>
  <c r="D366" i="6"/>
  <c r="D291" i="6"/>
  <c r="E68" i="6"/>
  <c r="D342" i="6"/>
  <c r="E210" i="6"/>
  <c r="D351" i="6"/>
  <c r="E280" i="6"/>
  <c r="D393" i="6"/>
  <c r="E250" i="6"/>
  <c r="D383" i="6"/>
  <c r="E332" i="6"/>
  <c r="E252" i="6"/>
  <c r="D194" i="6"/>
  <c r="D256" i="6"/>
  <c r="D310" i="6"/>
  <c r="E396" i="6"/>
  <c r="D354" i="6"/>
  <c r="D306" i="6"/>
  <c r="E212" i="6"/>
  <c r="D380" i="6"/>
  <c r="D293" i="6"/>
  <c r="D226" i="6"/>
  <c r="E376" i="6"/>
  <c r="E328" i="6"/>
  <c r="D286" i="6"/>
  <c r="E222" i="6"/>
  <c r="D390" i="6"/>
  <c r="D347" i="6"/>
  <c r="E304" i="6"/>
  <c r="E218" i="6"/>
  <c r="E388" i="6"/>
  <c r="D362" i="6"/>
  <c r="D330" i="6"/>
  <c r="D290" i="6"/>
  <c r="E228" i="6"/>
  <c r="D198" i="6"/>
  <c r="E358" i="6"/>
  <c r="D192" i="6"/>
  <c r="D266" i="6"/>
  <c r="D202" i="6"/>
  <c r="E360" i="6"/>
  <c r="E312" i="6"/>
  <c r="E262" i="6"/>
  <c r="E198" i="6"/>
  <c r="D374" i="6"/>
  <c r="D331" i="6"/>
  <c r="E274" i="6"/>
  <c r="E190" i="6"/>
  <c r="D375" i="6"/>
  <c r="E348" i="6"/>
  <c r="D322" i="6"/>
  <c r="E276" i="6"/>
  <c r="E196" i="6"/>
  <c r="E180" i="6"/>
  <c r="D321" i="6"/>
  <c r="E50" i="6"/>
  <c r="D258" i="6"/>
  <c r="E100" i="6"/>
  <c r="D355" i="6"/>
  <c r="D307" i="6"/>
  <c r="E254" i="6"/>
  <c r="E174" i="6"/>
  <c r="E368" i="6"/>
  <c r="D326" i="6"/>
  <c r="E266" i="6"/>
  <c r="E132" i="6"/>
  <c r="E372" i="6"/>
  <c r="D346" i="6"/>
  <c r="D311" i="6"/>
  <c r="E272" i="6"/>
  <c r="E192" i="6"/>
  <c r="E28" i="6"/>
  <c r="E294" i="6"/>
  <c r="E371" i="6"/>
  <c r="E300" i="6"/>
  <c r="E260" i="6"/>
  <c r="E220" i="6"/>
  <c r="D169" i="6"/>
  <c r="E124" i="6"/>
  <c r="E374" i="6"/>
  <c r="E318" i="6"/>
  <c r="D208" i="6"/>
  <c r="E18" i="6"/>
  <c r="D298" i="6"/>
  <c r="E256" i="6"/>
  <c r="E216" i="6"/>
  <c r="E148" i="6"/>
  <c r="E92" i="6"/>
  <c r="D364" i="6"/>
  <c r="D308" i="6"/>
  <c r="D200" i="6"/>
  <c r="E399" i="6"/>
  <c r="D319" i="6"/>
  <c r="D287" i="6"/>
  <c r="E248" i="6"/>
  <c r="E208" i="6"/>
  <c r="E20" i="6"/>
  <c r="E4" i="6"/>
  <c r="D353" i="6"/>
  <c r="D289" i="6"/>
  <c r="E176" i="6"/>
  <c r="E335" i="6"/>
  <c r="D396" i="6"/>
  <c r="D337" i="6"/>
  <c r="D276" i="6"/>
  <c r="E44" i="6"/>
  <c r="D299" i="6"/>
  <c r="E242" i="6"/>
  <c r="E36" i="6"/>
  <c r="E380" i="6"/>
  <c r="D359" i="6"/>
  <c r="D338" i="6"/>
  <c r="E316" i="6"/>
  <c r="D295" i="6"/>
  <c r="E268" i="6"/>
  <c r="E236" i="6"/>
  <c r="E204" i="6"/>
  <c r="E116" i="6"/>
  <c r="D172" i="6"/>
  <c r="E390" i="6"/>
  <c r="E350" i="6"/>
  <c r="D300" i="6"/>
  <c r="D244" i="6"/>
  <c r="D171" i="6"/>
  <c r="E315" i="6"/>
  <c r="D294" i="6"/>
  <c r="E234" i="6"/>
  <c r="D399" i="6"/>
  <c r="D378" i="6"/>
  <c r="E356" i="6"/>
  <c r="D335" i="6"/>
  <c r="D314" i="6"/>
  <c r="E292" i="6"/>
  <c r="E264" i="6"/>
  <c r="E232" i="6"/>
  <c r="E200" i="6"/>
  <c r="E84" i="6"/>
  <c r="E156" i="6"/>
  <c r="D385" i="6"/>
  <c r="D348" i="6"/>
  <c r="D297" i="6"/>
  <c r="D224" i="6"/>
  <c r="E168" i="6"/>
  <c r="E134" i="6"/>
  <c r="D372" i="6"/>
  <c r="E342" i="6"/>
  <c r="D316" i="6"/>
  <c r="E286" i="6"/>
  <c r="D232" i="6"/>
  <c r="E166" i="6"/>
  <c r="E154" i="6"/>
  <c r="E379" i="6"/>
  <c r="E221" i="6"/>
  <c r="D369" i="6"/>
  <c r="D340" i="6"/>
  <c r="E310" i="6"/>
  <c r="D284" i="6"/>
  <c r="D228" i="6"/>
  <c r="E76" i="6"/>
  <c r="E138" i="6"/>
  <c r="E373" i="6"/>
  <c r="E197" i="6"/>
  <c r="D361" i="6"/>
  <c r="D332" i="6"/>
  <c r="D305" i="6"/>
  <c r="D272" i="6"/>
  <c r="D212" i="6"/>
  <c r="E12" i="6"/>
  <c r="E74" i="6"/>
  <c r="E365" i="6"/>
  <c r="E102" i="6"/>
  <c r="E357" i="6"/>
  <c r="D176" i="6"/>
  <c r="E26" i="6"/>
  <c r="E349" i="6"/>
  <c r="D186" i="6"/>
  <c r="E114" i="6"/>
  <c r="E391" i="6"/>
  <c r="E347" i="6"/>
  <c r="E40" i="6"/>
  <c r="D184" i="6"/>
  <c r="E106" i="6"/>
  <c r="E387" i="6"/>
  <c r="E343" i="6"/>
  <c r="D183" i="6"/>
  <c r="E293" i="6"/>
  <c r="E269" i="6"/>
  <c r="B475" i="6"/>
  <c r="B479" i="6"/>
  <c r="B483" i="6"/>
  <c r="B487" i="6"/>
  <c r="B491" i="6"/>
  <c r="B495" i="6"/>
  <c r="B499" i="6"/>
  <c r="B139" i="6"/>
  <c r="B143" i="6"/>
  <c r="B147" i="6"/>
  <c r="B151" i="6"/>
  <c r="B155" i="6"/>
  <c r="B159" i="6"/>
  <c r="B163" i="6"/>
  <c r="B167" i="6"/>
  <c r="B171" i="6"/>
  <c r="B175" i="6"/>
  <c r="B179" i="6"/>
  <c r="B183" i="6"/>
  <c r="B187" i="6"/>
  <c r="B191" i="6"/>
  <c r="B195" i="6"/>
  <c r="B199" i="6"/>
  <c r="B203" i="6"/>
  <c r="B207" i="6"/>
  <c r="B211" i="6"/>
  <c r="B215" i="6"/>
  <c r="B219" i="6"/>
  <c r="B223" i="6"/>
  <c r="B227" i="6"/>
  <c r="B231" i="6"/>
  <c r="B235" i="6"/>
  <c r="B239" i="6"/>
  <c r="B243" i="6"/>
  <c r="B247" i="6"/>
  <c r="B251" i="6"/>
  <c r="B255" i="6"/>
  <c r="B259" i="6"/>
  <c r="B263" i="6"/>
  <c r="B267" i="6"/>
  <c r="B271" i="6"/>
  <c r="B275" i="6"/>
  <c r="B279" i="6"/>
  <c r="B283" i="6"/>
  <c r="B287" i="6"/>
  <c r="B291" i="6"/>
  <c r="B295" i="6"/>
  <c r="B299" i="6"/>
  <c r="B303" i="6"/>
  <c r="B307" i="6"/>
  <c r="B311" i="6"/>
  <c r="B315" i="6"/>
  <c r="B319" i="6"/>
  <c r="B323" i="6"/>
  <c r="B327" i="6"/>
  <c r="B331" i="6"/>
  <c r="B335" i="6"/>
  <c r="B339" i="6"/>
  <c r="B343" i="6"/>
  <c r="B347" i="6"/>
  <c r="B351" i="6"/>
  <c r="B355" i="6"/>
  <c r="B359" i="6"/>
  <c r="B363" i="6"/>
  <c r="B367" i="6"/>
  <c r="B371" i="6"/>
  <c r="B375" i="6"/>
  <c r="B379" i="6"/>
  <c r="B383" i="6"/>
  <c r="B387" i="6"/>
  <c r="B391" i="6"/>
  <c r="B395" i="6"/>
  <c r="B399" i="6"/>
  <c r="B403" i="6"/>
  <c r="B407" i="6"/>
  <c r="B411" i="6"/>
  <c r="B415" i="6"/>
  <c r="B419" i="6"/>
  <c r="B423" i="6"/>
  <c r="B427" i="6"/>
  <c r="B431" i="6"/>
  <c r="B435" i="6"/>
  <c r="B439" i="6"/>
  <c r="B443" i="6"/>
  <c r="B447" i="6"/>
  <c r="C475" i="6"/>
  <c r="C479" i="6"/>
  <c r="C483" i="6"/>
  <c r="C487" i="6"/>
  <c r="C491" i="6"/>
  <c r="C495" i="6"/>
  <c r="C499" i="6"/>
  <c r="C139" i="6"/>
  <c r="C143" i="6"/>
  <c r="C147" i="6"/>
  <c r="C151" i="6"/>
  <c r="C155" i="6"/>
  <c r="C159" i="6"/>
  <c r="C163" i="6"/>
  <c r="C167" i="6"/>
  <c r="C171" i="6"/>
  <c r="C175" i="6"/>
  <c r="C179" i="6"/>
  <c r="C183" i="6"/>
  <c r="C187" i="6"/>
  <c r="C191" i="6"/>
  <c r="C195" i="6"/>
  <c r="C199" i="6"/>
  <c r="C203" i="6"/>
  <c r="C207" i="6"/>
  <c r="C211" i="6"/>
  <c r="C215" i="6"/>
  <c r="C219" i="6"/>
  <c r="C223" i="6"/>
  <c r="C227" i="6"/>
  <c r="C231" i="6"/>
  <c r="C235" i="6"/>
  <c r="C239" i="6"/>
  <c r="C243" i="6"/>
  <c r="C247" i="6"/>
  <c r="C251" i="6"/>
  <c r="C255" i="6"/>
  <c r="C259" i="6"/>
  <c r="C263" i="6"/>
  <c r="C267" i="6"/>
  <c r="C271" i="6"/>
  <c r="C275" i="6"/>
  <c r="C279" i="6"/>
  <c r="C283" i="6"/>
  <c r="C287" i="6"/>
  <c r="C291" i="6"/>
  <c r="C295" i="6"/>
  <c r="C299" i="6"/>
  <c r="C303" i="6"/>
  <c r="C307" i="6"/>
  <c r="C311" i="6"/>
  <c r="C315" i="6"/>
  <c r="C319" i="6"/>
  <c r="C323" i="6"/>
  <c r="C327" i="6"/>
  <c r="C331" i="6"/>
  <c r="C335" i="6"/>
  <c r="C339" i="6"/>
  <c r="C343" i="6"/>
  <c r="C347" i="6"/>
  <c r="C351" i="6"/>
  <c r="C355" i="6"/>
  <c r="C359" i="6"/>
  <c r="C363" i="6"/>
  <c r="C367" i="6"/>
  <c r="C371" i="6"/>
  <c r="C375" i="6"/>
  <c r="C379" i="6"/>
  <c r="C383" i="6"/>
  <c r="C387" i="6"/>
  <c r="C391" i="6"/>
  <c r="C395" i="6"/>
  <c r="C399" i="6"/>
  <c r="C403" i="6"/>
  <c r="C407" i="6"/>
  <c r="C411" i="6"/>
  <c r="C415" i="6"/>
  <c r="C419" i="6"/>
  <c r="C423" i="6"/>
  <c r="C427" i="6"/>
  <c r="C431" i="6"/>
  <c r="C435" i="6"/>
  <c r="C439" i="6"/>
  <c r="C443" i="6"/>
  <c r="C447" i="6"/>
  <c r="B476" i="6"/>
  <c r="B480" i="6"/>
  <c r="B484" i="6"/>
  <c r="B488" i="6"/>
  <c r="B492" i="6"/>
  <c r="B496" i="6"/>
  <c r="B500" i="6"/>
  <c r="B140" i="6"/>
  <c r="B144" i="6"/>
  <c r="B148" i="6"/>
  <c r="B152" i="6"/>
  <c r="B156" i="6"/>
  <c r="B160" i="6"/>
  <c r="B164" i="6"/>
  <c r="B168" i="6"/>
  <c r="B172" i="6"/>
  <c r="B176" i="6"/>
  <c r="B180" i="6"/>
  <c r="B184" i="6"/>
  <c r="B188" i="6"/>
  <c r="B192" i="6"/>
  <c r="B196" i="6"/>
  <c r="B200" i="6"/>
  <c r="B204" i="6"/>
  <c r="B208" i="6"/>
  <c r="B212" i="6"/>
  <c r="B216" i="6"/>
  <c r="B220" i="6"/>
  <c r="B224" i="6"/>
  <c r="B228" i="6"/>
  <c r="B232" i="6"/>
  <c r="B236" i="6"/>
  <c r="B240" i="6"/>
  <c r="B244" i="6"/>
  <c r="B248" i="6"/>
  <c r="B252" i="6"/>
  <c r="B256" i="6"/>
  <c r="B260" i="6"/>
  <c r="B264" i="6"/>
  <c r="B268" i="6"/>
  <c r="B272" i="6"/>
  <c r="B276" i="6"/>
  <c r="B280" i="6"/>
  <c r="B284" i="6"/>
  <c r="B288" i="6"/>
  <c r="B292" i="6"/>
  <c r="B296" i="6"/>
  <c r="B300" i="6"/>
  <c r="B304" i="6"/>
  <c r="B308" i="6"/>
  <c r="B312" i="6"/>
  <c r="B316" i="6"/>
  <c r="B320" i="6"/>
  <c r="B324" i="6"/>
  <c r="B328" i="6"/>
  <c r="C477" i="6"/>
  <c r="C481" i="6"/>
  <c r="C485" i="6"/>
  <c r="C489" i="6"/>
  <c r="C493" i="6"/>
  <c r="C497" i="6"/>
  <c r="C137" i="6"/>
  <c r="C141" i="6"/>
  <c r="C145" i="6"/>
  <c r="C149" i="6"/>
  <c r="C153" i="6"/>
  <c r="C157" i="6"/>
  <c r="C161" i="6"/>
  <c r="C165" i="6"/>
  <c r="C169" i="6"/>
  <c r="C173" i="6"/>
  <c r="C177" i="6"/>
  <c r="C181" i="6"/>
  <c r="C185" i="6"/>
  <c r="C189" i="6"/>
  <c r="C193" i="6"/>
  <c r="C197" i="6"/>
  <c r="C201" i="6"/>
  <c r="C205" i="6"/>
  <c r="C209" i="6"/>
  <c r="C213" i="6"/>
  <c r="C217" i="6"/>
  <c r="C221" i="6"/>
  <c r="C225" i="6"/>
  <c r="C229" i="6"/>
  <c r="C233" i="6"/>
  <c r="C237" i="6"/>
  <c r="C241" i="6"/>
  <c r="C245" i="6"/>
  <c r="C249" i="6"/>
  <c r="C253" i="6"/>
  <c r="C257" i="6"/>
  <c r="C261" i="6"/>
  <c r="C265" i="6"/>
  <c r="C269" i="6"/>
  <c r="C273" i="6"/>
  <c r="C277" i="6"/>
  <c r="C281" i="6"/>
  <c r="C285" i="6"/>
  <c r="C289" i="6"/>
  <c r="C293" i="6"/>
  <c r="C297" i="6"/>
  <c r="C301" i="6"/>
  <c r="C305" i="6"/>
  <c r="C309" i="6"/>
  <c r="C313" i="6"/>
  <c r="C317" i="6"/>
  <c r="C321" i="6"/>
  <c r="C325" i="6"/>
  <c r="C329" i="6"/>
  <c r="C333" i="6"/>
  <c r="C337" i="6"/>
  <c r="C341" i="6"/>
  <c r="C345" i="6"/>
  <c r="C349" i="6"/>
  <c r="C353" i="6"/>
  <c r="C357" i="6"/>
  <c r="C361" i="6"/>
  <c r="C365" i="6"/>
  <c r="C369" i="6"/>
  <c r="C373" i="6"/>
  <c r="C377" i="6"/>
  <c r="C381" i="6"/>
  <c r="C385" i="6"/>
  <c r="C389" i="6"/>
  <c r="C393" i="6"/>
  <c r="C397" i="6"/>
  <c r="C401" i="6"/>
  <c r="C405" i="6"/>
  <c r="C409" i="6"/>
  <c r="C413" i="6"/>
  <c r="C417" i="6"/>
  <c r="C421" i="6"/>
  <c r="C425" i="6"/>
  <c r="C429" i="6"/>
  <c r="C433" i="6"/>
  <c r="C437" i="6"/>
  <c r="C441" i="6"/>
  <c r="C445" i="6"/>
  <c r="C449" i="6"/>
  <c r="B478" i="6"/>
  <c r="B482" i="6"/>
  <c r="B486" i="6"/>
  <c r="B490" i="6"/>
  <c r="B494" i="6"/>
  <c r="B498" i="6"/>
  <c r="B138" i="6"/>
  <c r="B142" i="6"/>
  <c r="B146" i="6"/>
  <c r="B150" i="6"/>
  <c r="B154" i="6"/>
  <c r="B158" i="6"/>
  <c r="B162" i="6"/>
  <c r="B166" i="6"/>
  <c r="B170" i="6"/>
  <c r="B174" i="6"/>
  <c r="B178" i="6"/>
  <c r="B182" i="6"/>
  <c r="B186" i="6"/>
  <c r="B190" i="6"/>
  <c r="B194" i="6"/>
  <c r="B198" i="6"/>
  <c r="B202" i="6"/>
  <c r="B206" i="6"/>
  <c r="B210" i="6"/>
  <c r="B214" i="6"/>
  <c r="B218" i="6"/>
  <c r="B222" i="6"/>
  <c r="B226" i="6"/>
  <c r="B230" i="6"/>
  <c r="B234" i="6"/>
  <c r="B238" i="6"/>
  <c r="B242" i="6"/>
  <c r="B246" i="6"/>
  <c r="B250" i="6"/>
  <c r="B254" i="6"/>
  <c r="B258" i="6"/>
  <c r="B262" i="6"/>
  <c r="B266" i="6"/>
  <c r="B270" i="6"/>
  <c r="B274" i="6"/>
  <c r="B278" i="6"/>
  <c r="B282" i="6"/>
  <c r="B286" i="6"/>
  <c r="B290" i="6"/>
  <c r="B294" i="6"/>
  <c r="B298" i="6"/>
  <c r="B302" i="6"/>
  <c r="B306" i="6"/>
  <c r="B310" i="6"/>
  <c r="B314" i="6"/>
  <c r="B318" i="6"/>
  <c r="B322" i="6"/>
  <c r="B326" i="6"/>
  <c r="B330" i="6"/>
  <c r="B334" i="6"/>
  <c r="B338" i="6"/>
  <c r="B342" i="6"/>
  <c r="B346" i="6"/>
  <c r="B350" i="6"/>
  <c r="B354" i="6"/>
  <c r="B358" i="6"/>
  <c r="B362" i="6"/>
  <c r="B366" i="6"/>
  <c r="B370" i="6"/>
  <c r="B374" i="6"/>
  <c r="B378" i="6"/>
  <c r="B382" i="6"/>
  <c r="B386" i="6"/>
  <c r="B390" i="6"/>
  <c r="B394" i="6"/>
  <c r="B398" i="6"/>
  <c r="B402" i="6"/>
  <c r="B406" i="6"/>
  <c r="B410" i="6"/>
  <c r="B414" i="6"/>
  <c r="B418" i="6"/>
  <c r="B422" i="6"/>
  <c r="B426" i="6"/>
  <c r="B430" i="6"/>
  <c r="B434" i="6"/>
  <c r="B438" i="6"/>
  <c r="B442" i="6"/>
  <c r="B446" i="6"/>
  <c r="C478" i="6"/>
  <c r="C482" i="6"/>
  <c r="C486" i="6"/>
  <c r="C490" i="6"/>
  <c r="C494" i="6"/>
  <c r="C498" i="6"/>
  <c r="C138" i="6"/>
  <c r="C142" i="6"/>
  <c r="C146" i="6"/>
  <c r="C150" i="6"/>
  <c r="C154" i="6"/>
  <c r="C158" i="6"/>
  <c r="C162" i="6"/>
  <c r="C166" i="6"/>
  <c r="C170" i="6"/>
  <c r="C174" i="6"/>
  <c r="C178" i="6"/>
  <c r="C182" i="6"/>
  <c r="C186" i="6"/>
  <c r="C190" i="6"/>
  <c r="C194" i="6"/>
  <c r="C198" i="6"/>
  <c r="C202" i="6"/>
  <c r="C206" i="6"/>
  <c r="C210" i="6"/>
  <c r="C214" i="6"/>
  <c r="C218" i="6"/>
  <c r="C222" i="6"/>
  <c r="C226" i="6"/>
  <c r="C230" i="6"/>
  <c r="C234" i="6"/>
  <c r="C238" i="6"/>
  <c r="C242" i="6"/>
  <c r="C246" i="6"/>
  <c r="C250" i="6"/>
  <c r="C254" i="6"/>
  <c r="C258" i="6"/>
  <c r="C262" i="6"/>
  <c r="C266" i="6"/>
  <c r="C270" i="6"/>
  <c r="C274" i="6"/>
  <c r="C278" i="6"/>
  <c r="C282" i="6"/>
  <c r="C286" i="6"/>
  <c r="C290" i="6"/>
  <c r="C294" i="6"/>
  <c r="C298" i="6"/>
  <c r="C302" i="6"/>
  <c r="C306" i="6"/>
  <c r="C310" i="6"/>
  <c r="C314" i="6"/>
  <c r="C318" i="6"/>
  <c r="C322" i="6"/>
  <c r="C326" i="6"/>
  <c r="C330" i="6"/>
  <c r="C334" i="6"/>
  <c r="C338" i="6"/>
  <c r="C342" i="6"/>
  <c r="C346" i="6"/>
  <c r="C350" i="6"/>
  <c r="C354" i="6"/>
  <c r="C358" i="6"/>
  <c r="C362" i="6"/>
  <c r="C366" i="6"/>
  <c r="C370" i="6"/>
  <c r="C374" i="6"/>
  <c r="C378" i="6"/>
  <c r="C382" i="6"/>
  <c r="C386" i="6"/>
  <c r="C390" i="6"/>
  <c r="C394" i="6"/>
  <c r="C398" i="6"/>
  <c r="C402" i="6"/>
  <c r="C406" i="6"/>
  <c r="C410" i="6"/>
  <c r="C414" i="6"/>
  <c r="C418" i="6"/>
  <c r="C422" i="6"/>
  <c r="C476" i="6"/>
  <c r="C492" i="6"/>
  <c r="C144" i="6"/>
  <c r="C160" i="6"/>
  <c r="C176" i="6"/>
  <c r="C192" i="6"/>
  <c r="C208" i="6"/>
  <c r="C224" i="6"/>
  <c r="C240" i="6"/>
  <c r="C256" i="6"/>
  <c r="C272" i="6"/>
  <c r="C288" i="6"/>
  <c r="C304" i="6"/>
  <c r="C320" i="6"/>
  <c r="B333" i="6"/>
  <c r="C344" i="6"/>
  <c r="B356" i="6"/>
  <c r="B365" i="6"/>
  <c r="C376" i="6"/>
  <c r="B388" i="6"/>
  <c r="B397" i="6"/>
  <c r="C408" i="6"/>
  <c r="B420" i="6"/>
  <c r="C428" i="6"/>
  <c r="C436" i="6"/>
  <c r="C444" i="6"/>
  <c r="B451" i="6"/>
  <c r="B455" i="6"/>
  <c r="B459" i="6"/>
  <c r="B463" i="6"/>
  <c r="B467" i="6"/>
  <c r="B471" i="6"/>
  <c r="C484" i="6"/>
  <c r="C200" i="6"/>
  <c r="C216" i="6"/>
  <c r="C232" i="6"/>
  <c r="C248" i="6"/>
  <c r="C264" i="6"/>
  <c r="C280" i="6"/>
  <c r="C296" i="6"/>
  <c r="C312" i="6"/>
  <c r="C328" i="6"/>
  <c r="B340" i="6"/>
  <c r="B349" i="6"/>
  <c r="B372" i="6"/>
  <c r="C392" i="6"/>
  <c r="B413" i="6"/>
  <c r="C440" i="6"/>
  <c r="B453" i="6"/>
  <c r="B473" i="6"/>
  <c r="B477" i="6"/>
  <c r="B493" i="6"/>
  <c r="B145" i="6"/>
  <c r="B161" i="6"/>
  <c r="B177" i="6"/>
  <c r="B193" i="6"/>
  <c r="B209" i="6"/>
  <c r="B225" i="6"/>
  <c r="B241" i="6"/>
  <c r="B257" i="6"/>
  <c r="B273" i="6"/>
  <c r="B289" i="6"/>
  <c r="B305" i="6"/>
  <c r="B321" i="6"/>
  <c r="B336" i="6"/>
  <c r="B345" i="6"/>
  <c r="C356" i="6"/>
  <c r="B368" i="6"/>
  <c r="B377" i="6"/>
  <c r="C388" i="6"/>
  <c r="B400" i="6"/>
  <c r="B409" i="6"/>
  <c r="C420" i="6"/>
  <c r="B429" i="6"/>
  <c r="B437" i="6"/>
  <c r="B445" i="6"/>
  <c r="C451" i="6"/>
  <c r="C455" i="6"/>
  <c r="C459" i="6"/>
  <c r="C463" i="6"/>
  <c r="C467" i="6"/>
  <c r="C471" i="6"/>
  <c r="C184" i="6"/>
  <c r="C480" i="6"/>
  <c r="C496" i="6"/>
  <c r="C148" i="6"/>
  <c r="C164" i="6"/>
  <c r="C180" i="6"/>
  <c r="C196" i="6"/>
  <c r="C212" i="6"/>
  <c r="C228" i="6"/>
  <c r="C244" i="6"/>
  <c r="C260" i="6"/>
  <c r="C276" i="6"/>
  <c r="C292" i="6"/>
  <c r="C308" i="6"/>
  <c r="C324" i="6"/>
  <c r="C336" i="6"/>
  <c r="B348" i="6"/>
  <c r="B357" i="6"/>
  <c r="C368" i="6"/>
  <c r="B380" i="6"/>
  <c r="B389" i="6"/>
  <c r="C400" i="6"/>
  <c r="B412" i="6"/>
  <c r="B421" i="6"/>
  <c r="C430" i="6"/>
  <c r="C438" i="6"/>
  <c r="C446" i="6"/>
  <c r="B452" i="6"/>
  <c r="B456" i="6"/>
  <c r="B460" i="6"/>
  <c r="B464" i="6"/>
  <c r="B468" i="6"/>
  <c r="B472" i="6"/>
  <c r="C152" i="6"/>
  <c r="B404" i="6"/>
  <c r="B465" i="6"/>
  <c r="B481" i="6"/>
  <c r="B497" i="6"/>
  <c r="B149" i="6"/>
  <c r="B165" i="6"/>
  <c r="B181" i="6"/>
  <c r="B197" i="6"/>
  <c r="B213" i="6"/>
  <c r="B229" i="6"/>
  <c r="B245" i="6"/>
  <c r="B261" i="6"/>
  <c r="B277" i="6"/>
  <c r="B293" i="6"/>
  <c r="B309" i="6"/>
  <c r="B325" i="6"/>
  <c r="B337" i="6"/>
  <c r="C348" i="6"/>
  <c r="B360" i="6"/>
  <c r="B369" i="6"/>
  <c r="C380" i="6"/>
  <c r="B392" i="6"/>
  <c r="B401" i="6"/>
  <c r="C412" i="6"/>
  <c r="B424" i="6"/>
  <c r="B432" i="6"/>
  <c r="B440" i="6"/>
  <c r="B448" i="6"/>
  <c r="C452" i="6"/>
  <c r="C456" i="6"/>
  <c r="C460" i="6"/>
  <c r="C464" i="6"/>
  <c r="C468" i="6"/>
  <c r="C472" i="6"/>
  <c r="C500" i="6"/>
  <c r="C360" i="6"/>
  <c r="C432" i="6"/>
  <c r="B461" i="6"/>
  <c r="B485" i="6"/>
  <c r="B137" i="6"/>
  <c r="B153" i="6"/>
  <c r="B169" i="6"/>
  <c r="B185" i="6"/>
  <c r="B201" i="6"/>
  <c r="B217" i="6"/>
  <c r="B233" i="6"/>
  <c r="B249" i="6"/>
  <c r="B265" i="6"/>
  <c r="B281" i="6"/>
  <c r="B297" i="6"/>
  <c r="B313" i="6"/>
  <c r="B329" i="6"/>
  <c r="C340" i="6"/>
  <c r="B352" i="6"/>
  <c r="B361" i="6"/>
  <c r="C372" i="6"/>
  <c r="B384" i="6"/>
  <c r="B393" i="6"/>
  <c r="C404" i="6"/>
  <c r="B416" i="6"/>
  <c r="B425" i="6"/>
  <c r="B433" i="6"/>
  <c r="B441" i="6"/>
  <c r="B449" i="6"/>
  <c r="C453" i="6"/>
  <c r="C457" i="6"/>
  <c r="C461" i="6"/>
  <c r="C465" i="6"/>
  <c r="C469" i="6"/>
  <c r="C473" i="6"/>
  <c r="C488" i="6"/>
  <c r="C140" i="6"/>
  <c r="C156" i="6"/>
  <c r="C172" i="6"/>
  <c r="C188" i="6"/>
  <c r="C204" i="6"/>
  <c r="C220" i="6"/>
  <c r="C236" i="6"/>
  <c r="C252" i="6"/>
  <c r="C268" i="6"/>
  <c r="C284" i="6"/>
  <c r="C300" i="6"/>
  <c r="C316" i="6"/>
  <c r="B332" i="6"/>
  <c r="B341" i="6"/>
  <c r="C352" i="6"/>
  <c r="B364" i="6"/>
  <c r="B373" i="6"/>
  <c r="C384" i="6"/>
  <c r="B396" i="6"/>
  <c r="B405" i="6"/>
  <c r="C416" i="6"/>
  <c r="C426" i="6"/>
  <c r="C434" i="6"/>
  <c r="C442" i="6"/>
  <c r="B450" i="6"/>
  <c r="B454" i="6"/>
  <c r="B458" i="6"/>
  <c r="B462" i="6"/>
  <c r="B466" i="6"/>
  <c r="B470" i="6"/>
  <c r="B474" i="6"/>
  <c r="B489" i="6"/>
  <c r="B141" i="6"/>
  <c r="B157" i="6"/>
  <c r="B173" i="6"/>
  <c r="B189" i="6"/>
  <c r="B205" i="6"/>
  <c r="B221" i="6"/>
  <c r="B237" i="6"/>
  <c r="B253" i="6"/>
  <c r="B269" i="6"/>
  <c r="B285" i="6"/>
  <c r="B301" i="6"/>
  <c r="B317" i="6"/>
  <c r="C332" i="6"/>
  <c r="B344" i="6"/>
  <c r="B353" i="6"/>
  <c r="C364" i="6"/>
  <c r="B376" i="6"/>
  <c r="B385" i="6"/>
  <c r="C396" i="6"/>
  <c r="B408" i="6"/>
  <c r="B417" i="6"/>
  <c r="B428" i="6"/>
  <c r="B436" i="6"/>
  <c r="B444" i="6"/>
  <c r="C450" i="6"/>
  <c r="C454" i="6"/>
  <c r="C458" i="6"/>
  <c r="C462" i="6"/>
  <c r="C466" i="6"/>
  <c r="C470" i="6"/>
  <c r="C474" i="6"/>
  <c r="C168" i="6"/>
  <c r="B381" i="6"/>
  <c r="C424" i="6"/>
  <c r="C448" i="6"/>
  <c r="B457" i="6"/>
  <c r="B469" i="6"/>
  <c r="E398" i="6"/>
  <c r="D377" i="6"/>
  <c r="D356" i="6"/>
  <c r="E334" i="6"/>
  <c r="D313" i="6"/>
  <c r="D292" i="6"/>
  <c r="D260" i="6"/>
  <c r="D216" i="6"/>
  <c r="E140" i="6"/>
  <c r="D178" i="6"/>
  <c r="E122" i="6"/>
  <c r="E42" i="6"/>
  <c r="E383" i="6"/>
  <c r="E351" i="6"/>
  <c r="E303" i="6"/>
  <c r="D187" i="6"/>
  <c r="D388" i="6"/>
  <c r="E366" i="6"/>
  <c r="D345" i="6"/>
  <c r="D324" i="6"/>
  <c r="E302" i="6"/>
  <c r="D280" i="6"/>
  <c r="D240" i="6"/>
  <c r="D196" i="6"/>
  <c r="D188" i="6"/>
  <c r="D166" i="6"/>
  <c r="E82" i="6"/>
  <c r="E395" i="6"/>
  <c r="E367" i="6"/>
  <c r="E341" i="6"/>
  <c r="E199" i="6"/>
  <c r="D132" i="6"/>
  <c r="E146" i="6"/>
  <c r="E58" i="6"/>
  <c r="E389" i="6"/>
  <c r="E363" i="6"/>
  <c r="E319" i="6"/>
  <c r="E177" i="6"/>
  <c r="E267" i="6"/>
  <c r="E32" i="6"/>
  <c r="D124" i="6"/>
  <c r="E263" i="6"/>
  <c r="E16" i="6"/>
  <c r="D72" i="6"/>
  <c r="E245" i="6"/>
  <c r="D245" i="6"/>
  <c r="D60" i="6"/>
  <c r="E10" i="6"/>
  <c r="E381" i="6"/>
  <c r="E359" i="6"/>
  <c r="E339" i="6"/>
  <c r="E299" i="6"/>
  <c r="E261" i="6"/>
  <c r="E185" i="6"/>
  <c r="D259" i="6"/>
  <c r="E118" i="6"/>
  <c r="D68" i="6"/>
  <c r="E397" i="6"/>
  <c r="E375" i="6"/>
  <c r="E355" i="6"/>
  <c r="E331" i="6"/>
  <c r="E291" i="6"/>
  <c r="E243" i="6"/>
  <c r="D173" i="6"/>
  <c r="D237" i="6"/>
  <c r="D154" i="6"/>
  <c r="D10" i="6"/>
  <c r="E327" i="6"/>
  <c r="E287" i="6"/>
  <c r="E239" i="6"/>
  <c r="E72" i="6"/>
  <c r="D235" i="6"/>
  <c r="D146" i="6"/>
  <c r="E325" i="6"/>
  <c r="E271" i="6"/>
  <c r="E235" i="6"/>
  <c r="E64" i="6"/>
  <c r="D215" i="6"/>
  <c r="D138" i="6"/>
  <c r="E311" i="6"/>
  <c r="E285" i="6"/>
  <c r="E255" i="6"/>
  <c r="E217" i="6"/>
  <c r="D165" i="6"/>
  <c r="D279" i="6"/>
  <c r="D207" i="6"/>
  <c r="E94" i="6"/>
  <c r="D116" i="6"/>
  <c r="E173" i="6"/>
  <c r="E309" i="6"/>
  <c r="E283" i="6"/>
  <c r="E251" i="6"/>
  <c r="E215" i="6"/>
  <c r="E160" i="6"/>
  <c r="D267" i="6"/>
  <c r="D203" i="6"/>
  <c r="E70" i="6"/>
  <c r="D104" i="6"/>
  <c r="E157" i="6"/>
  <c r="E333" i="6"/>
  <c r="E307" i="6"/>
  <c r="E277" i="6"/>
  <c r="E247" i="6"/>
  <c r="E207" i="6"/>
  <c r="E144" i="6"/>
  <c r="D261" i="6"/>
  <c r="D195" i="6"/>
  <c r="E22" i="6"/>
  <c r="D96" i="6"/>
  <c r="E129" i="6"/>
  <c r="D74" i="6"/>
  <c r="E125" i="6"/>
  <c r="E27" i="6"/>
  <c r="E229" i="6"/>
  <c r="E193" i="6"/>
  <c r="E128" i="6"/>
  <c r="D271" i="6"/>
  <c r="D229" i="6"/>
  <c r="D181" i="6"/>
  <c r="D160" i="6"/>
  <c r="D112" i="6"/>
  <c r="D48" i="6"/>
  <c r="E105" i="6"/>
  <c r="E225" i="6"/>
  <c r="E189" i="6"/>
  <c r="E104" i="6"/>
  <c r="D269" i="6"/>
  <c r="D223" i="6"/>
  <c r="E172" i="6"/>
  <c r="D156" i="6"/>
  <c r="D106" i="6"/>
  <c r="D26" i="6"/>
  <c r="E69" i="6"/>
  <c r="D8" i="6"/>
  <c r="E323" i="6"/>
  <c r="E301" i="6"/>
  <c r="E279" i="6"/>
  <c r="E259" i="6"/>
  <c r="E237" i="6"/>
  <c r="E209" i="6"/>
  <c r="E183" i="6"/>
  <c r="E112" i="6"/>
  <c r="D283" i="6"/>
  <c r="D251" i="6"/>
  <c r="D213" i="6"/>
  <c r="D175" i="6"/>
  <c r="E54" i="6"/>
  <c r="D136" i="6"/>
  <c r="D100" i="6"/>
  <c r="D50" i="6"/>
  <c r="E165" i="6"/>
  <c r="E53" i="6"/>
  <c r="E317" i="6"/>
  <c r="E295" i="6"/>
  <c r="E275" i="6"/>
  <c r="E253" i="6"/>
  <c r="E231" i="6"/>
  <c r="E205" i="6"/>
  <c r="E175" i="6"/>
  <c r="E80" i="6"/>
  <c r="D277" i="6"/>
  <c r="D239" i="6"/>
  <c r="D205" i="6"/>
  <c r="E158" i="6"/>
  <c r="E6" i="6"/>
  <c r="D128" i="6"/>
  <c r="D90" i="6"/>
  <c r="D40" i="6"/>
  <c r="E145" i="6"/>
  <c r="D147" i="6"/>
  <c r="D80" i="6"/>
  <c r="D36" i="6"/>
  <c r="E133" i="6"/>
  <c r="D255" i="6"/>
  <c r="D227" i="6"/>
  <c r="D197" i="6"/>
  <c r="D170" i="6"/>
  <c r="E62" i="6"/>
  <c r="D148" i="6"/>
  <c r="D122" i="6"/>
  <c r="D92" i="6"/>
  <c r="D64" i="6"/>
  <c r="D32" i="6"/>
  <c r="E163" i="6"/>
  <c r="E115" i="6"/>
  <c r="E15" i="6"/>
  <c r="D247" i="6"/>
  <c r="D219" i="6"/>
  <c r="D191" i="6"/>
  <c r="E150" i="6"/>
  <c r="E30" i="6"/>
  <c r="D144" i="6"/>
  <c r="D114" i="6"/>
  <c r="D84" i="6"/>
  <c r="D58" i="6"/>
  <c r="D20" i="6"/>
  <c r="E153" i="6"/>
  <c r="E97" i="6"/>
  <c r="D91" i="6"/>
  <c r="D82" i="6"/>
  <c r="D52" i="6"/>
  <c r="D18" i="6"/>
  <c r="E147" i="6"/>
  <c r="E91" i="6"/>
  <c r="E73" i="6"/>
  <c r="E113" i="6"/>
  <c r="E85" i="6"/>
  <c r="E41" i="6"/>
  <c r="D135" i="6"/>
  <c r="D51" i="6"/>
  <c r="D131" i="6"/>
  <c r="D95" i="6"/>
  <c r="D268" i="6"/>
  <c r="D252" i="6"/>
  <c r="D236" i="6"/>
  <c r="D220" i="6"/>
  <c r="D204" i="6"/>
  <c r="E184" i="6"/>
  <c r="E108" i="6"/>
  <c r="D190" i="6"/>
  <c r="D182" i="6"/>
  <c r="D174" i="6"/>
  <c r="E162" i="6"/>
  <c r="E130" i="6"/>
  <c r="E98" i="6"/>
  <c r="E66" i="6"/>
  <c r="E34" i="6"/>
  <c r="D4" i="6"/>
  <c r="E393" i="6"/>
  <c r="E385" i="6"/>
  <c r="E377" i="6"/>
  <c r="E369" i="6"/>
  <c r="E361" i="6"/>
  <c r="E353" i="6"/>
  <c r="E345" i="6"/>
  <c r="E337" i="6"/>
  <c r="E329" i="6"/>
  <c r="E321" i="6"/>
  <c r="E313" i="6"/>
  <c r="E305" i="6"/>
  <c r="E297" i="6"/>
  <c r="E289" i="6"/>
  <c r="E281" i="6"/>
  <c r="E273" i="6"/>
  <c r="E265" i="6"/>
  <c r="E257" i="6"/>
  <c r="E249" i="6"/>
  <c r="E241" i="6"/>
  <c r="E233" i="6"/>
  <c r="E223" i="6"/>
  <c r="E213" i="6"/>
  <c r="E201" i="6"/>
  <c r="E191" i="6"/>
  <c r="E181" i="6"/>
  <c r="D168" i="6"/>
  <c r="E136" i="6"/>
  <c r="E96" i="6"/>
  <c r="E48" i="6"/>
  <c r="E8" i="6"/>
  <c r="D275" i="6"/>
  <c r="D263" i="6"/>
  <c r="D253" i="6"/>
  <c r="D243" i="6"/>
  <c r="D231" i="6"/>
  <c r="D221" i="6"/>
  <c r="D211" i="6"/>
  <c r="D199" i="6"/>
  <c r="D189" i="6"/>
  <c r="D179" i="6"/>
  <c r="E164" i="6"/>
  <c r="E126" i="6"/>
  <c r="E86" i="6"/>
  <c r="E38" i="6"/>
  <c r="D162" i="6"/>
  <c r="D152" i="6"/>
  <c r="D140" i="6"/>
  <c r="D130" i="6"/>
  <c r="D120" i="6"/>
  <c r="D108" i="6"/>
  <c r="D98" i="6"/>
  <c r="D88" i="6"/>
  <c r="D76" i="6"/>
  <c r="D66" i="6"/>
  <c r="D56" i="6"/>
  <c r="D42" i="6"/>
  <c r="D28" i="6"/>
  <c r="D16" i="6"/>
  <c r="E169" i="6"/>
  <c r="E155" i="6"/>
  <c r="E139" i="6"/>
  <c r="E117" i="6"/>
  <c r="E101" i="6"/>
  <c r="E83" i="6"/>
  <c r="E43" i="6"/>
  <c r="E7" i="6"/>
  <c r="D111" i="6"/>
  <c r="D35" i="6"/>
  <c r="E59" i="6"/>
  <c r="E29" i="6"/>
  <c r="D153" i="6"/>
  <c r="D115" i="6"/>
  <c r="D79" i="6"/>
  <c r="D73" i="6"/>
  <c r="D59" i="6"/>
  <c r="D44" i="6"/>
  <c r="D34" i="6"/>
  <c r="D24" i="6"/>
  <c r="D12" i="6"/>
  <c r="E171" i="6"/>
  <c r="E161" i="6"/>
  <c r="E149" i="6"/>
  <c r="E137" i="6"/>
  <c r="E123" i="6"/>
  <c r="E107" i="6"/>
  <c r="E93" i="6"/>
  <c r="E81" i="6"/>
  <c r="E65" i="6"/>
  <c r="E51" i="6"/>
  <c r="E37" i="6"/>
  <c r="E19" i="6"/>
  <c r="D163" i="6"/>
  <c r="D145" i="6"/>
  <c r="D123" i="6"/>
  <c r="D105" i="6"/>
  <c r="D89" i="6"/>
  <c r="D67" i="6"/>
  <c r="D49" i="6"/>
  <c r="D27" i="6"/>
  <c r="E75" i="6"/>
  <c r="E61" i="6"/>
  <c r="E49" i="6"/>
  <c r="E33" i="6"/>
  <c r="E17" i="6"/>
  <c r="D159" i="6"/>
  <c r="D137" i="6"/>
  <c r="D121" i="6"/>
  <c r="D103" i="6"/>
  <c r="D81" i="6"/>
  <c r="D63" i="6"/>
  <c r="D47" i="6"/>
  <c r="D39" i="6"/>
  <c r="E227" i="6"/>
  <c r="E219" i="6"/>
  <c r="E211" i="6"/>
  <c r="E203" i="6"/>
  <c r="E195" i="6"/>
  <c r="E187" i="6"/>
  <c r="E179" i="6"/>
  <c r="E170" i="6"/>
  <c r="E152" i="6"/>
  <c r="E120" i="6"/>
  <c r="E88" i="6"/>
  <c r="E56" i="6"/>
  <c r="E24" i="6"/>
  <c r="D281" i="6"/>
  <c r="D273" i="6"/>
  <c r="D265" i="6"/>
  <c r="D257" i="6"/>
  <c r="D249" i="6"/>
  <c r="D241" i="6"/>
  <c r="D233" i="6"/>
  <c r="D225" i="6"/>
  <c r="D217" i="6"/>
  <c r="D209" i="6"/>
  <c r="D201" i="6"/>
  <c r="D193" i="6"/>
  <c r="D185" i="6"/>
  <c r="D177" i="6"/>
  <c r="D167" i="6"/>
  <c r="E142" i="6"/>
  <c r="E110" i="6"/>
  <c r="E78" i="6"/>
  <c r="E46" i="6"/>
  <c r="E14" i="6"/>
  <c r="D158" i="6"/>
  <c r="D150" i="6"/>
  <c r="D142" i="6"/>
  <c r="D134" i="6"/>
  <c r="D126" i="6"/>
  <c r="D118" i="6"/>
  <c r="D110" i="6"/>
  <c r="D102" i="6"/>
  <c r="D94" i="6"/>
  <c r="D86" i="6"/>
  <c r="D78" i="6"/>
  <c r="D70" i="6"/>
  <c r="D62" i="6"/>
  <c r="D54" i="6"/>
  <c r="D46" i="6"/>
  <c r="D38" i="6"/>
  <c r="D30" i="6"/>
  <c r="D22" i="6"/>
  <c r="D14" i="6"/>
  <c r="D6" i="6"/>
  <c r="E167" i="6"/>
  <c r="E159" i="6"/>
  <c r="E151" i="6"/>
  <c r="E141" i="6"/>
  <c r="E131" i="6"/>
  <c r="E121" i="6"/>
  <c r="E109" i="6"/>
  <c r="E99" i="6"/>
  <c r="E89" i="6"/>
  <c r="E77" i="6"/>
  <c r="E67" i="6"/>
  <c r="E57" i="6"/>
  <c r="E45" i="6"/>
  <c r="E35" i="6"/>
  <c r="E25" i="6"/>
  <c r="E9" i="6"/>
  <c r="D155" i="6"/>
  <c r="D143" i="6"/>
  <c r="D127" i="6"/>
  <c r="D113" i="6"/>
  <c r="D99" i="6"/>
  <c r="D83" i="6"/>
  <c r="D71" i="6"/>
  <c r="D57" i="6"/>
  <c r="D41" i="6"/>
  <c r="D17" i="6"/>
  <c r="A25" i="2"/>
  <c r="E143" i="6"/>
  <c r="E135" i="6"/>
  <c r="E127" i="6"/>
  <c r="E119" i="6"/>
  <c r="E111" i="6"/>
  <c r="E103" i="6"/>
  <c r="E95" i="6"/>
  <c r="E87" i="6"/>
  <c r="E79" i="6"/>
  <c r="E71" i="6"/>
  <c r="E63" i="6"/>
  <c r="E55" i="6"/>
  <c r="E47" i="6"/>
  <c r="E39" i="6"/>
  <c r="E31" i="6"/>
  <c r="E23" i="6"/>
  <c r="E11" i="6"/>
  <c r="D161" i="6"/>
  <c r="D151" i="6"/>
  <c r="D139" i="6"/>
  <c r="D129" i="6"/>
  <c r="D119" i="6"/>
  <c r="D107" i="6"/>
  <c r="D97" i="6"/>
  <c r="D87" i="6"/>
  <c r="D75" i="6"/>
  <c r="D65" i="6"/>
  <c r="D55" i="6"/>
  <c r="D43" i="6"/>
  <c r="D33" i="6"/>
  <c r="D7" i="6"/>
  <c r="D31" i="6"/>
  <c r="D25" i="6"/>
  <c r="D23" i="6"/>
  <c r="D19" i="6"/>
  <c r="E21" i="6"/>
  <c r="E13" i="6"/>
  <c r="E5" i="6"/>
  <c r="D157" i="6"/>
  <c r="D149" i="6"/>
  <c r="D141" i="6"/>
  <c r="D133" i="6"/>
  <c r="D125" i="6"/>
  <c r="D117" i="6"/>
  <c r="D109" i="6"/>
  <c r="D101" i="6"/>
  <c r="D93" i="6"/>
  <c r="D85" i="6"/>
  <c r="D77" i="6"/>
  <c r="D69" i="6"/>
  <c r="D61" i="6"/>
  <c r="D53" i="6"/>
  <c r="D45" i="6"/>
  <c r="D37" i="6"/>
  <c r="D29" i="6"/>
  <c r="D21" i="6"/>
  <c r="D5" i="6"/>
  <c r="D15" i="6"/>
  <c r="D13" i="6"/>
  <c r="D11" i="6"/>
  <c r="B117" i="6"/>
  <c r="B118" i="6"/>
  <c r="B119" i="6"/>
  <c r="B120" i="6"/>
  <c r="B121" i="6"/>
  <c r="B122" i="6"/>
  <c r="B123" i="6"/>
  <c r="B124" i="6"/>
  <c r="B125" i="6"/>
  <c r="B126" i="6"/>
  <c r="B127" i="6"/>
  <c r="B128" i="6"/>
  <c r="B129" i="6"/>
  <c r="B130" i="6"/>
  <c r="B131" i="6"/>
  <c r="B132" i="6"/>
  <c r="B133" i="6"/>
  <c r="B134" i="6"/>
  <c r="B135" i="6"/>
  <c r="B136" i="6"/>
  <c r="C117" i="6"/>
  <c r="C118" i="6"/>
  <c r="C119" i="6"/>
  <c r="C120" i="6"/>
  <c r="C121" i="6"/>
  <c r="C122" i="6"/>
  <c r="C123" i="6"/>
  <c r="C124" i="6"/>
  <c r="C125" i="6"/>
  <c r="C126" i="6"/>
  <c r="C127" i="6"/>
  <c r="C128" i="6"/>
  <c r="C129" i="6"/>
  <c r="C130" i="6"/>
  <c r="C131" i="6"/>
  <c r="C132" i="6"/>
  <c r="C133" i="6"/>
  <c r="C134" i="6"/>
  <c r="C135" i="6"/>
  <c r="C136" i="6"/>
  <c r="B6" i="7"/>
  <c r="D6" i="7" s="1"/>
  <c r="B8" i="7"/>
  <c r="B10" i="7"/>
  <c r="B12" i="7"/>
  <c r="C4" i="7"/>
  <c r="C5" i="7"/>
  <c r="C13" i="7"/>
  <c r="C6" i="7"/>
  <c r="C8" i="7"/>
  <c r="C10" i="7"/>
  <c r="C12" i="7"/>
  <c r="B4" i="7"/>
  <c r="C7" i="7"/>
  <c r="C11" i="7"/>
  <c r="B5" i="7"/>
  <c r="B7" i="7"/>
  <c r="D7" i="7" s="1"/>
  <c r="B9" i="7"/>
  <c r="D9" i="7" s="1"/>
  <c r="B11" i="7"/>
  <c r="B13" i="7"/>
  <c r="D13" i="7" s="1"/>
  <c r="E13" i="7" s="1"/>
  <c r="C9" i="7"/>
  <c r="C103" i="6"/>
  <c r="B75" i="6"/>
  <c r="B47" i="6"/>
  <c r="B22" i="6"/>
  <c r="B12" i="6"/>
  <c r="C111" i="6"/>
  <c r="B83" i="6"/>
  <c r="B55" i="6"/>
  <c r="C40" i="6"/>
  <c r="B28" i="6"/>
  <c r="B106" i="6"/>
  <c r="C92" i="6"/>
  <c r="C63" i="6"/>
  <c r="B35" i="6"/>
  <c r="B24" i="6"/>
  <c r="B15" i="6"/>
  <c r="C116" i="6"/>
  <c r="C87" i="6"/>
  <c r="B59" i="6"/>
  <c r="B112" i="6"/>
  <c r="C101" i="6"/>
  <c r="B96" i="6"/>
  <c r="C85" i="6"/>
  <c r="B80" i="6"/>
  <c r="C69" i="6"/>
  <c r="B64" i="6"/>
  <c r="C53" i="6"/>
  <c r="B48" i="6"/>
  <c r="C37" i="6"/>
  <c r="B114" i="6"/>
  <c r="C100" i="6"/>
  <c r="C71" i="6"/>
  <c r="B43" i="6"/>
  <c r="B30" i="6"/>
  <c r="C108" i="6"/>
  <c r="C79" i="6"/>
  <c r="B51" i="6"/>
  <c r="B103" i="6"/>
  <c r="C88" i="6"/>
  <c r="B74" i="6"/>
  <c r="C60" i="6"/>
  <c r="B32" i="6"/>
  <c r="B7" i="6"/>
  <c r="C112" i="6"/>
  <c r="B98" i="6"/>
  <c r="C84" i="6"/>
  <c r="C55" i="6"/>
  <c r="B18" i="6"/>
  <c r="B6" i="6"/>
  <c r="B5" i="6"/>
  <c r="B116" i="6"/>
  <c r="C105" i="6"/>
  <c r="B100" i="6"/>
  <c r="C89" i="6"/>
  <c r="B84" i="6"/>
  <c r="C73" i="6"/>
  <c r="B68" i="6"/>
  <c r="C57" i="6"/>
  <c r="B52" i="6"/>
  <c r="C41" i="6"/>
  <c r="B36" i="6"/>
  <c r="B111" i="6"/>
  <c r="C96" i="6"/>
  <c r="B82" i="6"/>
  <c r="C68" i="6"/>
  <c r="C39" i="6"/>
  <c r="B17" i="6"/>
  <c r="B4" i="6"/>
  <c r="C104" i="6"/>
  <c r="B90" i="6"/>
  <c r="C76" i="6"/>
  <c r="C47" i="6"/>
  <c r="B14" i="6"/>
  <c r="B9" i="6"/>
  <c r="B99" i="6"/>
  <c r="B71" i="6"/>
  <c r="C56" i="6"/>
  <c r="B42" i="6"/>
  <c r="B11" i="6"/>
  <c r="B95" i="6"/>
  <c r="C80" i="6"/>
  <c r="B66" i="6"/>
  <c r="C52" i="6"/>
  <c r="B26" i="6"/>
  <c r="B10" i="6"/>
  <c r="C109" i="6"/>
  <c r="B104" i="6"/>
  <c r="C93" i="6"/>
  <c r="B88" i="6"/>
  <c r="C77" i="6"/>
  <c r="B72" i="6"/>
  <c r="C61" i="6"/>
  <c r="B56" i="6"/>
  <c r="C45" i="6"/>
  <c r="B40" i="6"/>
  <c r="B79" i="6"/>
  <c r="C44" i="6"/>
  <c r="B67" i="6"/>
  <c r="B91" i="6"/>
  <c r="B34" i="6"/>
  <c r="B108" i="6"/>
  <c r="C65" i="6"/>
  <c r="B44" i="6"/>
  <c r="C110" i="6"/>
  <c r="B105" i="6"/>
  <c r="C94" i="6"/>
  <c r="B89" i="6"/>
  <c r="C78" i="6"/>
  <c r="B73" i="6"/>
  <c r="C62" i="6"/>
  <c r="B57" i="6"/>
  <c r="C46" i="6"/>
  <c r="B41" i="6"/>
  <c r="C31" i="6"/>
  <c r="C27" i="6"/>
  <c r="C23" i="6"/>
  <c r="C19" i="6"/>
  <c r="C15" i="6"/>
  <c r="C6" i="6"/>
  <c r="C10" i="6"/>
  <c r="B21" i="6"/>
  <c r="B29" i="6"/>
  <c r="B38" i="6"/>
  <c r="C59" i="6"/>
  <c r="B70" i="6"/>
  <c r="C91" i="6"/>
  <c r="B102" i="6"/>
  <c r="B94" i="6"/>
  <c r="C115" i="6"/>
  <c r="B69" i="6"/>
  <c r="C24" i="6"/>
  <c r="C5" i="6"/>
  <c r="B19" i="6"/>
  <c r="B46" i="6"/>
  <c r="B78" i="6"/>
  <c r="C64" i="6"/>
  <c r="B87" i="6"/>
  <c r="C81" i="6"/>
  <c r="B60" i="6"/>
  <c r="C114" i="6"/>
  <c r="B109" i="6"/>
  <c r="C98" i="6"/>
  <c r="B93" i="6"/>
  <c r="C82" i="6"/>
  <c r="B77" i="6"/>
  <c r="C66" i="6"/>
  <c r="B61" i="6"/>
  <c r="C50" i="6"/>
  <c r="B45" i="6"/>
  <c r="C34" i="6"/>
  <c r="C30" i="6"/>
  <c r="C26" i="6"/>
  <c r="C22" i="6"/>
  <c r="C18" i="6"/>
  <c r="C14" i="6"/>
  <c r="C7" i="6"/>
  <c r="C11" i="6"/>
  <c r="B16" i="6"/>
  <c r="B23" i="6"/>
  <c r="B31" i="6"/>
  <c r="C51" i="6"/>
  <c r="B62" i="6"/>
  <c r="C83" i="6"/>
  <c r="B58" i="6"/>
  <c r="C113" i="6"/>
  <c r="B101" i="6"/>
  <c r="B85" i="6"/>
  <c r="C74" i="6"/>
  <c r="C58" i="6"/>
  <c r="C42" i="6"/>
  <c r="C28" i="6"/>
  <c r="C20" i="6"/>
  <c r="C13" i="6"/>
  <c r="C35" i="6"/>
  <c r="C67" i="6"/>
  <c r="B110" i="6"/>
  <c r="B107" i="6"/>
  <c r="B50" i="6"/>
  <c r="B8" i="6"/>
  <c r="C72" i="6"/>
  <c r="B20" i="6"/>
  <c r="C95" i="6"/>
  <c r="B39" i="6"/>
  <c r="B63" i="6"/>
  <c r="C97" i="6"/>
  <c r="B76" i="6"/>
  <c r="B113" i="6"/>
  <c r="C102" i="6"/>
  <c r="B97" i="6"/>
  <c r="C86" i="6"/>
  <c r="B81" i="6"/>
  <c r="C70" i="6"/>
  <c r="B65" i="6"/>
  <c r="C54" i="6"/>
  <c r="B49" i="6"/>
  <c r="C38" i="6"/>
  <c r="C33" i="6"/>
  <c r="C29" i="6"/>
  <c r="C25" i="6"/>
  <c r="C21" i="6"/>
  <c r="C17" i="6"/>
  <c r="C4" i="6"/>
  <c r="C8" i="6"/>
  <c r="C12" i="6"/>
  <c r="B25" i="6"/>
  <c r="B33" i="6"/>
  <c r="C43" i="6"/>
  <c r="B54" i="6"/>
  <c r="C75" i="6"/>
  <c r="B86" i="6"/>
  <c r="C107" i="6"/>
  <c r="C36" i="6"/>
  <c r="B115" i="6"/>
  <c r="B13" i="6"/>
  <c r="C48" i="6"/>
  <c r="B92" i="6"/>
  <c r="C49" i="6"/>
  <c r="C106" i="6"/>
  <c r="C90" i="6"/>
  <c r="B53" i="6"/>
  <c r="B37" i="6"/>
  <c r="C32" i="6"/>
  <c r="C16" i="6"/>
  <c r="C9" i="6"/>
  <c r="B27" i="6"/>
  <c r="C99" i="6"/>
  <c r="B23" i="2"/>
  <c r="B25" i="2" s="1"/>
  <c r="B27" i="2" s="1"/>
  <c r="B29" i="2" s="1"/>
  <c r="B31" i="2" s="1"/>
  <c r="B33" i="2" s="1"/>
  <c r="B35" i="2" s="1"/>
  <c r="B37" i="2" s="1"/>
  <c r="B39" i="2" s="1"/>
  <c r="B41" i="2" s="1"/>
  <c r="B43" i="2" s="1"/>
  <c r="B45" i="2" s="1"/>
  <c r="B47" i="2" s="1"/>
  <c r="B49" i="2" s="1"/>
  <c r="B51" i="2" s="1"/>
  <c r="B53" i="2" s="1"/>
  <c r="B55" i="2" s="1"/>
  <c r="B57" i="2" s="1"/>
  <c r="B59" i="2" s="1"/>
  <c r="B61" i="2" s="1"/>
  <c r="B63" i="2" s="1"/>
  <c r="B65" i="2" s="1"/>
  <c r="B67" i="2" s="1"/>
  <c r="A40" i="3"/>
  <c r="C20" i="3"/>
  <c r="M8" i="2"/>
  <c r="N7" i="2" s="1"/>
  <c r="A16" i="3"/>
  <c r="BR19" i="2"/>
  <c r="A17" i="3"/>
  <c r="D12" i="2"/>
  <c r="B12" i="2"/>
  <c r="D7" i="1"/>
  <c r="E7" i="1" s="1"/>
  <c r="D3" i="1"/>
  <c r="E3" i="1" s="1"/>
  <c r="AT47" i="2" s="1"/>
  <c r="D10" i="1"/>
  <c r="E10" i="1" s="1"/>
  <c r="D6" i="1"/>
  <c r="E6" i="1" s="1"/>
  <c r="D9" i="1"/>
  <c r="E9" i="1" s="1"/>
  <c r="D5" i="1"/>
  <c r="E5" i="1" s="1"/>
  <c r="D8" i="1"/>
  <c r="E8" i="1" s="1"/>
  <c r="D4" i="1"/>
  <c r="E4" i="1" s="1"/>
  <c r="BS13" i="2"/>
  <c r="K38" i="2"/>
  <c r="K34" i="2"/>
  <c r="J36" i="2"/>
  <c r="J40" i="2"/>
  <c r="J32" i="2"/>
  <c r="J28" i="2"/>
  <c r="J20" i="2"/>
  <c r="D8" i="7"/>
  <c r="D11" i="7"/>
  <c r="D10" i="7"/>
  <c r="D12" i="7"/>
  <c r="D5" i="7"/>
  <c r="J38" i="2"/>
  <c r="J34" i="2"/>
  <c r="J30" i="2"/>
  <c r="J42" i="2"/>
  <c r="K26" i="2"/>
  <c r="J26" i="2"/>
  <c r="J22" i="2"/>
  <c r="J46" i="2"/>
  <c r="G76" i="2" l="1"/>
  <c r="E5" i="7"/>
  <c r="E6" i="7"/>
  <c r="E9" i="7"/>
  <c r="E7" i="7"/>
  <c r="E12" i="7"/>
  <c r="E10" i="7"/>
  <c r="E11" i="7"/>
  <c r="E8" i="7"/>
  <c r="AE81" i="2"/>
  <c r="S76" i="2"/>
  <c r="K76" i="2"/>
  <c r="AE76" i="2"/>
  <c r="J81" i="2"/>
  <c r="AI76" i="2"/>
  <c r="O76" i="2"/>
  <c r="AA76" i="2"/>
  <c r="W76" i="2"/>
  <c r="AB81" i="2"/>
  <c r="Y81" i="2"/>
  <c r="S81" i="2"/>
  <c r="DL46" i="2"/>
  <c r="DI46" i="2" s="1" a="1"/>
  <c r="DI46" i="2" s="1"/>
  <c r="DI45" i="2" s="1"/>
  <c r="M81" i="2"/>
  <c r="G81" i="2"/>
  <c r="H81" i="2" s="1"/>
  <c r="AH81" i="2"/>
  <c r="V81" i="2"/>
  <c r="P81" i="2"/>
  <c r="AK81" i="2"/>
  <c r="AD46" i="2"/>
  <c r="AE46" i="2" s="1"/>
  <c r="N29" i="3" s="1"/>
  <c r="AT45" i="2"/>
  <c r="AD38" i="2"/>
  <c r="AE38" i="2" s="1"/>
  <c r="N25" i="3" s="1"/>
  <c r="AD42" i="2"/>
  <c r="AE42" i="2" s="1"/>
  <c r="AD34" i="2"/>
  <c r="AE34" i="2" s="1"/>
  <c r="AE44" i="2"/>
  <c r="N28" i="3" s="1"/>
  <c r="AE40" i="2"/>
  <c r="N26" i="3" s="1"/>
  <c r="AE36" i="2"/>
  <c r="N24" i="3" s="1"/>
  <c r="AE28" i="2"/>
  <c r="N20" i="3" s="1"/>
  <c r="AD22" i="2"/>
  <c r="AE22" i="2" s="1"/>
  <c r="N17" i="3" s="1"/>
  <c r="AD32" i="2"/>
  <c r="AE32" i="2" s="1"/>
  <c r="N22" i="3" s="1"/>
  <c r="BT17" i="2"/>
  <c r="BT21" i="2"/>
  <c r="BT29" i="2"/>
  <c r="BT37" i="2"/>
  <c r="BT45" i="2"/>
  <c r="BT57" i="2"/>
  <c r="BT65" i="2"/>
  <c r="BT43" i="2"/>
  <c r="BT23" i="2"/>
  <c r="BT31" i="2"/>
  <c r="BT39" i="2"/>
  <c r="BT47" i="2"/>
  <c r="BT59" i="2"/>
  <c r="BT67" i="2"/>
  <c r="BT27" i="2"/>
  <c r="BT55" i="2"/>
  <c r="BT25" i="2"/>
  <c r="BT33" i="2"/>
  <c r="BT41" i="2"/>
  <c r="BT53" i="2"/>
  <c r="BT61" i="2"/>
  <c r="BT19" i="2"/>
  <c r="BT35" i="2"/>
  <c r="BT63" i="2"/>
  <c r="BT51" i="2"/>
  <c r="BT49" i="2"/>
  <c r="AD30" i="2"/>
  <c r="AE30" i="2" s="1"/>
  <c r="N21" i="3" s="1"/>
  <c r="AD26" i="2"/>
  <c r="AE26" i="2" s="1"/>
  <c r="N19" i="3" s="1"/>
  <c r="CV19" i="2"/>
  <c r="CX19" i="2"/>
  <c r="CX21" i="2"/>
  <c r="CX29" i="2"/>
  <c r="CX37" i="2"/>
  <c r="CX45" i="2"/>
  <c r="CX53" i="2"/>
  <c r="CX61" i="2"/>
  <c r="CX35" i="2"/>
  <c r="CX43" i="2"/>
  <c r="CX59" i="2"/>
  <c r="CX23" i="2"/>
  <c r="CX31" i="2"/>
  <c r="CX39" i="2"/>
  <c r="CX47" i="2"/>
  <c r="CX55" i="2"/>
  <c r="CX63" i="2"/>
  <c r="CX51" i="2"/>
  <c r="CX25" i="2"/>
  <c r="CX33" i="2"/>
  <c r="CX41" i="2"/>
  <c r="CX49" i="2"/>
  <c r="CX57" i="2"/>
  <c r="CX65" i="2"/>
  <c r="CX27" i="2"/>
  <c r="CX67" i="2"/>
  <c r="CY21" i="2"/>
  <c r="CY25" i="2"/>
  <c r="CY29" i="2"/>
  <c r="CY33" i="2"/>
  <c r="CY37" i="2"/>
  <c r="CY41" i="2"/>
  <c r="CY45" i="2"/>
  <c r="CY49" i="2"/>
  <c r="CY53" i="2"/>
  <c r="CY57" i="2"/>
  <c r="CY61" i="2"/>
  <c r="CY65" i="2"/>
  <c r="CY23" i="2"/>
  <c r="CY27" i="2"/>
  <c r="CY31" i="2"/>
  <c r="CY35" i="2"/>
  <c r="CY39" i="2"/>
  <c r="CY43" i="2"/>
  <c r="CY47" i="2"/>
  <c r="CY51" i="2"/>
  <c r="CY55" i="2"/>
  <c r="CY59" i="2"/>
  <c r="CY63" i="2"/>
  <c r="CY67" i="2"/>
  <c r="CZ21" i="2"/>
  <c r="CZ25" i="2"/>
  <c r="CZ29" i="2"/>
  <c r="CZ33" i="2"/>
  <c r="CZ37" i="2"/>
  <c r="CZ41" i="2"/>
  <c r="CZ45" i="2"/>
  <c r="CZ49" i="2"/>
  <c r="CZ53" i="2"/>
  <c r="CZ57" i="2"/>
  <c r="CZ61" i="2"/>
  <c r="CZ65" i="2"/>
  <c r="CZ31" i="2"/>
  <c r="CZ51" i="2"/>
  <c r="CZ63" i="2"/>
  <c r="CZ23" i="2"/>
  <c r="CZ27" i="2"/>
  <c r="CZ35" i="2"/>
  <c r="CZ39" i="2"/>
  <c r="CZ43" i="2"/>
  <c r="CZ47" i="2"/>
  <c r="CZ55" i="2"/>
  <c r="CZ59" i="2"/>
  <c r="CZ67" i="2"/>
  <c r="CZ19" i="2"/>
  <c r="CY19" i="2"/>
  <c r="CV21" i="2"/>
  <c r="CV29" i="2"/>
  <c r="CV37" i="2"/>
  <c r="CV45" i="2"/>
  <c r="CV53" i="2"/>
  <c r="CV61" i="2"/>
  <c r="CV33" i="2"/>
  <c r="CV41" i="2"/>
  <c r="CV49" i="2"/>
  <c r="CV65" i="2"/>
  <c r="CV43" i="2"/>
  <c r="CV67" i="2"/>
  <c r="CV23" i="2"/>
  <c r="CV31" i="2"/>
  <c r="CV39" i="2"/>
  <c r="CV47" i="2"/>
  <c r="CV55" i="2"/>
  <c r="CV63" i="2"/>
  <c r="CV25" i="2"/>
  <c r="CV57" i="2"/>
  <c r="CV27" i="2"/>
  <c r="CV35" i="2"/>
  <c r="CV51" i="2"/>
  <c r="CV59" i="2"/>
  <c r="CW21" i="2"/>
  <c r="CW29" i="2"/>
  <c r="CW37" i="2"/>
  <c r="CW45" i="2"/>
  <c r="CW53" i="2"/>
  <c r="CW61" i="2"/>
  <c r="CW27" i="2"/>
  <c r="CW51" i="2"/>
  <c r="CW67" i="2"/>
  <c r="CW23" i="2"/>
  <c r="CW31" i="2"/>
  <c r="CW39" i="2"/>
  <c r="CW47" i="2"/>
  <c r="CW55" i="2"/>
  <c r="CW63" i="2"/>
  <c r="CW25" i="2"/>
  <c r="CW33" i="2"/>
  <c r="CW41" i="2"/>
  <c r="CW49" i="2"/>
  <c r="CW57" i="2"/>
  <c r="CW65" i="2"/>
  <c r="CW35" i="2"/>
  <c r="CW43" i="2"/>
  <c r="CW59" i="2"/>
  <c r="CW19" i="2"/>
  <c r="EF42" i="2" a="1"/>
  <c r="EF42" i="2" s="1"/>
  <c r="AT43" i="2"/>
  <c r="AT19" i="2"/>
  <c r="AT21" i="2"/>
  <c r="AT29" i="2"/>
  <c r="AT37" i="2"/>
  <c r="AT35" i="2"/>
  <c r="AT23" i="2"/>
  <c r="AT31" i="2"/>
  <c r="AT39" i="2"/>
  <c r="AT27" i="2"/>
  <c r="AT25" i="2"/>
  <c r="AT33" i="2"/>
  <c r="AT41" i="2"/>
  <c r="EG43" i="2"/>
  <c r="EG44" i="2" s="1"/>
  <c r="BU43" i="2"/>
  <c r="F44" i="2" s="1"/>
  <c r="BR25" i="2"/>
  <c r="BR23" i="2"/>
  <c r="AD20" i="2"/>
  <c r="A27" i="2"/>
  <c r="BR27" i="2" s="1"/>
  <c r="BU4" i="1"/>
  <c r="B69" i="2"/>
  <c r="C21" i="3"/>
  <c r="BU2" i="1"/>
  <c r="C13" i="2"/>
  <c r="BU8" i="1"/>
  <c r="BU6" i="1"/>
  <c r="BU10" i="1"/>
  <c r="B13" i="2"/>
  <c r="BR21" i="2"/>
  <c r="D4" i="7"/>
  <c r="E4" i="7" l="1"/>
  <c r="BR42" i="2"/>
  <c r="N27" i="3"/>
  <c r="BR38" i="2"/>
  <c r="N23" i="3"/>
  <c r="BR34" i="2"/>
  <c r="AE20" i="2"/>
  <c r="BR20" i="2" s="1"/>
  <c r="N18" i="3"/>
  <c r="BR44" i="2"/>
  <c r="CZ13" i="2" a="1"/>
  <c r="CZ13" i="2" s="1"/>
  <c r="CZ12" i="2" s="1"/>
  <c r="CY13" i="2" a="1"/>
  <c r="CY13" i="2" s="1"/>
  <c r="CY12" i="2" s="1"/>
  <c r="CX13" i="2" a="1"/>
  <c r="CX13" i="2" s="1"/>
  <c r="CX12" i="2" s="1"/>
  <c r="CV13" i="2" a="1"/>
  <c r="CV13" i="2" s="1"/>
  <c r="CV12" i="2" s="1"/>
  <c r="CW13" i="2" a="1"/>
  <c r="CW13" i="2" s="1"/>
  <c r="CW12" i="2" s="1"/>
  <c r="EW44" i="2"/>
  <c r="EZ44" i="2"/>
  <c r="EH44" i="2"/>
  <c r="EP44" i="2"/>
  <c r="EK44" i="2"/>
  <c r="EY44" i="2"/>
  <c r="EJ44" i="2"/>
  <c r="BR30" i="2"/>
  <c r="BR26" i="2"/>
  <c r="EX44" i="2"/>
  <c r="ER44" i="2"/>
  <c r="EL44" i="2"/>
  <c r="ES44" i="2"/>
  <c r="EO44" i="2"/>
  <c r="EU44" i="2"/>
  <c r="EV44" i="2"/>
  <c r="EI44" i="2"/>
  <c r="EQ44" i="2"/>
  <c r="ET44" i="2"/>
  <c r="EM44" i="2"/>
  <c r="EN44" i="2"/>
  <c r="BR40" i="2"/>
  <c r="BR36" i="2"/>
  <c r="BR32" i="2"/>
  <c r="BR28" i="2"/>
  <c r="BR22" i="2"/>
  <c r="FB43" i="2"/>
  <c r="FF43" i="2"/>
  <c r="FC43" i="2"/>
  <c r="FG43" i="2"/>
  <c r="FD43" i="2"/>
  <c r="FE43" i="2"/>
  <c r="EJ45" i="2"/>
  <c r="ET45" i="2"/>
  <c r="EV45" i="2"/>
  <c r="EW45" i="2"/>
  <c r="EH45" i="2"/>
  <c r="ER45" i="2"/>
  <c r="EK45" i="2"/>
  <c r="EP45" i="2"/>
  <c r="EI45" i="2"/>
  <c r="EQ45" i="2"/>
  <c r="EU45" i="2"/>
  <c r="EO45" i="2"/>
  <c r="EZ45" i="2"/>
  <c r="EY45" i="2"/>
  <c r="EN45" i="2"/>
  <c r="EM45" i="2"/>
  <c r="EL45" i="2"/>
  <c r="ES45" i="2"/>
  <c r="EX45" i="2"/>
  <c r="A29" i="2"/>
  <c r="BR29" i="2" s="1"/>
  <c r="C22" i="3"/>
  <c r="A18" i="3"/>
  <c r="BR24" i="2" l="1"/>
  <c r="EF44" i="2" a="1"/>
  <c r="EF44" i="2" s="1"/>
  <c r="BR46" i="2"/>
  <c r="EG45" i="2"/>
  <c r="EG46" i="2" s="1"/>
  <c r="BU45" i="2"/>
  <c r="F46" i="2" s="1"/>
  <c r="A31" i="2"/>
  <c r="BR31" i="2" s="1"/>
  <c r="C23" i="3"/>
  <c r="FL23" i="2"/>
  <c r="A19" i="3"/>
  <c r="EX46" i="2" l="1"/>
  <c r="EV46" i="2"/>
  <c r="EH46" i="2"/>
  <c r="EW46" i="2"/>
  <c r="EI46" i="2"/>
  <c r="EZ46" i="2"/>
  <c r="EK46" i="2"/>
  <c r="EQ46" i="2"/>
  <c r="EN46" i="2"/>
  <c r="EU46" i="2"/>
  <c r="EL46" i="2"/>
  <c r="EP46" i="2"/>
  <c r="EJ46" i="2"/>
  <c r="EO46" i="2"/>
  <c r="ET46" i="2"/>
  <c r="EY46" i="2"/>
  <c r="ES46" i="2"/>
  <c r="ER46" i="2"/>
  <c r="EM46" i="2"/>
  <c r="FD45" i="2"/>
  <c r="FF45" i="2"/>
  <c r="FG45" i="2"/>
  <c r="FE45" i="2"/>
  <c r="FB45" i="2"/>
  <c r="FC45" i="2"/>
  <c r="EU47" i="2"/>
  <c r="EN47" i="2"/>
  <c r="EX47" i="2"/>
  <c r="EY47" i="2"/>
  <c r="ES47" i="2"/>
  <c r="ET47" i="2"/>
  <c r="EL47" i="2"/>
  <c r="EJ47" i="2"/>
  <c r="EM47" i="2"/>
  <c r="EV47" i="2"/>
  <c r="ER47" i="2"/>
  <c r="EW47" i="2"/>
  <c r="EH47" i="2"/>
  <c r="EP47" i="2"/>
  <c r="EK47" i="2"/>
  <c r="EQ47" i="2"/>
  <c r="EZ47" i="2"/>
  <c r="EI47" i="2"/>
  <c r="EO47" i="2"/>
  <c r="A33" i="2"/>
  <c r="BR33" i="2" s="1"/>
  <c r="A22" i="3"/>
  <c r="C24" i="3"/>
  <c r="A21" i="3"/>
  <c r="A20" i="3"/>
  <c r="EF46" i="2" l="1" a="1"/>
  <c r="EF46" i="2" s="1"/>
  <c r="EG47" i="2"/>
  <c r="EG48" i="2" s="1"/>
  <c r="BU47" i="2"/>
  <c r="F48" i="2" s="1"/>
  <c r="ER48" i="2"/>
  <c r="EX48" i="2"/>
  <c r="EQ48" i="2"/>
  <c r="EW48" i="2"/>
  <c r="EY48" i="2"/>
  <c r="EK48" i="2"/>
  <c r="EZ48" i="2"/>
  <c r="EM48" i="2"/>
  <c r="ES48" i="2"/>
  <c r="EU48" i="2"/>
  <c r="EI48" i="2"/>
  <c r="EP48" i="2"/>
  <c r="EV48" i="2"/>
  <c r="EN48" i="2"/>
  <c r="A35" i="2"/>
  <c r="BR35" i="2" s="1"/>
  <c r="A23" i="3"/>
  <c r="C25" i="3"/>
  <c r="ET48" i="2" l="1"/>
  <c r="EO48" i="2"/>
  <c r="EH48" i="2"/>
  <c r="EJ48" i="2"/>
  <c r="EL48" i="2"/>
  <c r="EF48" i="2" s="1" a="1"/>
  <c r="EF48" i="2" s="1"/>
  <c r="FB47" i="2"/>
  <c r="FF47" i="2"/>
  <c r="FE47" i="2"/>
  <c r="FC47" i="2"/>
  <c r="FG47" i="2"/>
  <c r="FD47" i="2"/>
  <c r="EM49" i="2"/>
  <c r="EN49" i="2"/>
  <c r="EQ49" i="2"/>
  <c r="ER49" i="2"/>
  <c r="EH49" i="2"/>
  <c r="EY49" i="2"/>
  <c r="EO49" i="2"/>
  <c r="EK49" i="2"/>
  <c r="ET49" i="2"/>
  <c r="EU49" i="2"/>
  <c r="EZ49" i="2"/>
  <c r="EJ49" i="2"/>
  <c r="EX49" i="2"/>
  <c r="EV49" i="2"/>
  <c r="ES49" i="2"/>
  <c r="EI49" i="2"/>
  <c r="EW49" i="2"/>
  <c r="EL49" i="2"/>
  <c r="EP49" i="2"/>
  <c r="BR48" i="2"/>
  <c r="A37" i="2"/>
  <c r="BR37" i="2" s="1"/>
  <c r="A24" i="3"/>
  <c r="C26" i="3"/>
  <c r="C27" i="3"/>
  <c r="EG49" i="2" l="1"/>
  <c r="EG50" i="2" s="1"/>
  <c r="BU49" i="2"/>
  <c r="F50" i="2" s="1"/>
  <c r="EH50" i="2"/>
  <c r="ES50" i="2"/>
  <c r="EZ50" i="2"/>
  <c r="EO50" i="2"/>
  <c r="EY50" i="2"/>
  <c r="EN50" i="2"/>
  <c r="EL50" i="2"/>
  <c r="EV50" i="2"/>
  <c r="EI50" i="2"/>
  <c r="EJ50" i="2"/>
  <c r="EK50" i="2"/>
  <c r="EQ50" i="2"/>
  <c r="EM50" i="2"/>
  <c r="EP50" i="2"/>
  <c r="EW50" i="2"/>
  <c r="EX50" i="2"/>
  <c r="ET50" i="2"/>
  <c r="ER50" i="2"/>
  <c r="A39" i="2"/>
  <c r="BR39" i="2" s="1"/>
  <c r="A25" i="3"/>
  <c r="C28" i="3"/>
  <c r="EU50" i="2" l="1"/>
  <c r="FD49" i="2"/>
  <c r="FB49" i="2"/>
  <c r="FE49" i="2"/>
  <c r="FF49" i="2"/>
  <c r="FC49" i="2"/>
  <c r="FG49" i="2"/>
  <c r="EF50" i="2" a="1"/>
  <c r="EF50" i="2" s="1"/>
  <c r="EV51" i="2"/>
  <c r="ET51" i="2"/>
  <c r="EK51" i="2"/>
  <c r="EZ51" i="2"/>
  <c r="EL51" i="2"/>
  <c r="EX51" i="2"/>
  <c r="EO51" i="2"/>
  <c r="EY51" i="2"/>
  <c r="EM51" i="2"/>
  <c r="EJ51" i="2"/>
  <c r="ES51" i="2"/>
  <c r="EH51" i="2"/>
  <c r="EN51" i="2"/>
  <c r="EW51" i="2"/>
  <c r="EQ51" i="2"/>
  <c r="EI51" i="2"/>
  <c r="EU51" i="2"/>
  <c r="ER51" i="2"/>
  <c r="EP51" i="2"/>
  <c r="BR50" i="2"/>
  <c r="A41" i="2"/>
  <c r="BR41" i="2" s="1"/>
  <c r="A26" i="3"/>
  <c r="C29" i="3"/>
  <c r="EG51" i="2" l="1"/>
  <c r="EG52" i="2" s="1"/>
  <c r="BU51" i="2"/>
  <c r="F52" i="2" s="1"/>
  <c r="A43" i="2"/>
  <c r="A27" i="3"/>
  <c r="C30" i="3"/>
  <c r="A31" i="3"/>
  <c r="EZ52" i="2" l="1"/>
  <c r="EK52" i="2"/>
  <c r="ER52" i="2"/>
  <c r="ES52" i="2"/>
  <c r="EL52" i="2"/>
  <c r="EM52" i="2"/>
  <c r="EY52" i="2"/>
  <c r="ET52" i="2"/>
  <c r="EN52" i="2"/>
  <c r="EJ52" i="2"/>
  <c r="EQ52" i="2"/>
  <c r="EH52" i="2"/>
  <c r="EX52" i="2"/>
  <c r="EU52" i="2"/>
  <c r="EI52" i="2"/>
  <c r="EP52" i="2"/>
  <c r="EW52" i="2"/>
  <c r="EO52" i="2"/>
  <c r="EV52" i="2"/>
  <c r="BR43" i="2"/>
  <c r="A28" i="3"/>
  <c r="FB51" i="2"/>
  <c r="FF51" i="2"/>
  <c r="FD51" i="2"/>
  <c r="FE51" i="2"/>
  <c r="FC51" i="2"/>
  <c r="FG51" i="2"/>
  <c r="EK53" i="2"/>
  <c r="EW53" i="2"/>
  <c r="ES53" i="2"/>
  <c r="EJ53" i="2"/>
  <c r="EN53" i="2"/>
  <c r="EH53" i="2"/>
  <c r="EX53" i="2"/>
  <c r="EL53" i="2"/>
  <c r="EM53" i="2"/>
  <c r="EO53" i="2"/>
  <c r="ER53" i="2"/>
  <c r="EU53" i="2"/>
  <c r="EI53" i="2"/>
  <c r="EQ53" i="2"/>
  <c r="EY53" i="2"/>
  <c r="ET53" i="2"/>
  <c r="EV53" i="2"/>
  <c r="EZ53" i="2"/>
  <c r="EP53" i="2"/>
  <c r="BR52" i="2"/>
  <c r="A45" i="2"/>
  <c r="C31" i="3"/>
  <c r="BR45" i="2" l="1"/>
  <c r="A29" i="3"/>
  <c r="EF52" i="2" a="1"/>
  <c r="EF52" i="2" s="1"/>
  <c r="EG53" i="2"/>
  <c r="EG54" i="2" s="1"/>
  <c r="BU53" i="2"/>
  <c r="F54" i="2" s="1"/>
  <c r="A47" i="2"/>
  <c r="C33" i="3"/>
  <c r="C32" i="3"/>
  <c r="A33" i="3"/>
  <c r="EW54" i="2" l="1"/>
  <c r="EU54" i="2"/>
  <c r="BR47" i="2"/>
  <c r="A30" i="3"/>
  <c r="EY54" i="2"/>
  <c r="EZ54" i="2"/>
  <c r="EQ54" i="2"/>
  <c r="EP54" i="2"/>
  <c r="ER54" i="2"/>
  <c r="EL54" i="2"/>
  <c r="EK54" i="2"/>
  <c r="ET54" i="2"/>
  <c r="EV54" i="2"/>
  <c r="EN54" i="2"/>
  <c r="EI54" i="2"/>
  <c r="EX54" i="2"/>
  <c r="EM54" i="2"/>
  <c r="EJ54" i="2"/>
  <c r="ES54" i="2"/>
  <c r="EO54" i="2"/>
  <c r="EH54" i="2"/>
  <c r="BV54" i="2"/>
  <c r="FD53" i="2"/>
  <c r="FF53" i="2"/>
  <c r="FG53" i="2"/>
  <c r="FE53" i="2"/>
  <c r="FB53" i="2"/>
  <c r="FC53" i="2"/>
  <c r="EI55" i="2"/>
  <c r="EM55" i="2"/>
  <c r="EU55" i="2"/>
  <c r="EO55" i="2"/>
  <c r="EY55" i="2"/>
  <c r="EQ55" i="2"/>
  <c r="EX55" i="2"/>
  <c r="EK55" i="2"/>
  <c r="EZ55" i="2"/>
  <c r="ER55" i="2"/>
  <c r="EV55" i="2"/>
  <c r="EP55" i="2"/>
  <c r="ET55" i="2"/>
  <c r="EH55" i="2"/>
  <c r="EN55" i="2"/>
  <c r="EJ55" i="2"/>
  <c r="EL55" i="2"/>
  <c r="ES55" i="2"/>
  <c r="EW55" i="2"/>
  <c r="BR54" i="2"/>
  <c r="A49" i="2"/>
  <c r="BR49" i="2" s="1"/>
  <c r="A34" i="3"/>
  <c r="EF54" i="2" l="1" a="1"/>
  <c r="EF54" i="2" s="1"/>
  <c r="EG55" i="2"/>
  <c r="EG56" i="2" s="1"/>
  <c r="BU55" i="2"/>
  <c r="F56" i="2" s="1"/>
  <c r="EV56" i="2"/>
  <c r="EW56" i="2"/>
  <c r="EN56" i="2"/>
  <c r="EJ56" i="2"/>
  <c r="ER56" i="2"/>
  <c r="EQ56" i="2"/>
  <c r="EI56" i="2"/>
  <c r="EK56" i="2"/>
  <c r="EO56" i="2"/>
  <c r="EU56" i="2"/>
  <c r="EZ56" i="2"/>
  <c r="EY56" i="2"/>
  <c r="A51" i="2"/>
  <c r="C34" i="3"/>
  <c r="A35" i="3"/>
  <c r="ET56" i="2" l="1"/>
  <c r="EP56" i="2"/>
  <c r="EH56" i="2"/>
  <c r="EX56" i="2"/>
  <c r="BR51" i="2"/>
  <c r="A32" i="3"/>
  <c r="EL56" i="2"/>
  <c r="BV56" i="2"/>
  <c r="ES56" i="2"/>
  <c r="EM56" i="2"/>
  <c r="FB55" i="2"/>
  <c r="FF55" i="2"/>
  <c r="FD55" i="2"/>
  <c r="FC55" i="2"/>
  <c r="FG55" i="2"/>
  <c r="FE55" i="2"/>
  <c r="EP57" i="2"/>
  <c r="EM57" i="2"/>
  <c r="EL57" i="2"/>
  <c r="EQ57" i="2"/>
  <c r="EO57" i="2"/>
  <c r="EX57" i="2"/>
  <c r="EW57" i="2"/>
  <c r="ER57" i="2"/>
  <c r="EY57" i="2"/>
  <c r="EU57" i="2"/>
  <c r="EV57" i="2"/>
  <c r="ES57" i="2"/>
  <c r="EH57" i="2"/>
  <c r="EZ57" i="2"/>
  <c r="EK57" i="2"/>
  <c r="EN57" i="2"/>
  <c r="EI57" i="2"/>
  <c r="EJ57" i="2"/>
  <c r="ET57" i="2"/>
  <c r="BR56" i="2"/>
  <c r="A53" i="2"/>
  <c r="BR53" i="2" s="1"/>
  <c r="C35" i="3"/>
  <c r="C36" i="3"/>
  <c r="A36" i="3"/>
  <c r="EF56" i="2" l="1" a="1"/>
  <c r="EF56" i="2" s="1"/>
  <c r="EG57" i="2"/>
  <c r="EG58" i="2" s="1"/>
  <c r="BU57" i="2"/>
  <c r="F58" i="2" s="1"/>
  <c r="EO58" i="2"/>
  <c r="ET58" i="2"/>
  <c r="A55" i="2"/>
  <c r="BR55" i="2" s="1"/>
  <c r="C37" i="3"/>
  <c r="A37" i="3"/>
  <c r="EU58" i="2" l="1"/>
  <c r="EI58" i="2"/>
  <c r="EH58" i="2"/>
  <c r="EQ58" i="2"/>
  <c r="EX58" i="2"/>
  <c r="EK58" i="2"/>
  <c r="EZ58" i="2"/>
  <c r="ES58" i="2"/>
  <c r="EY58" i="2"/>
  <c r="EL58" i="2"/>
  <c r="EW58" i="2"/>
  <c r="EP58" i="2"/>
  <c r="EJ58" i="2"/>
  <c r="EV58" i="2"/>
  <c r="ER58" i="2"/>
  <c r="EM58" i="2"/>
  <c r="EN58" i="2"/>
  <c r="FD57" i="2"/>
  <c r="FF57" i="2"/>
  <c r="FC57" i="2"/>
  <c r="FE57" i="2"/>
  <c r="FB57" i="2"/>
  <c r="FG57" i="2"/>
  <c r="EY59" i="2"/>
  <c r="EL59" i="2"/>
  <c r="EU59" i="2"/>
  <c r="EM59" i="2"/>
  <c r="EV59" i="2"/>
  <c r="ER59" i="2"/>
  <c r="EX59" i="2"/>
  <c r="EJ59" i="2"/>
  <c r="EP59" i="2"/>
  <c r="ES59" i="2"/>
  <c r="EW59" i="2"/>
  <c r="EH59" i="2"/>
  <c r="EK59" i="2"/>
  <c r="EZ59" i="2"/>
  <c r="EO59" i="2"/>
  <c r="EN59" i="2"/>
  <c r="EQ59" i="2"/>
  <c r="EI59" i="2"/>
  <c r="ET59" i="2"/>
  <c r="BR58" i="2"/>
  <c r="A57" i="2"/>
  <c r="BR57" i="2" s="1"/>
  <c r="C38" i="3"/>
  <c r="A38" i="3"/>
  <c r="EF58" i="2" l="1" a="1"/>
  <c r="EF58" i="2" s="1"/>
  <c r="EG59" i="2"/>
  <c r="EG60" i="2" s="1"/>
  <c r="BU59" i="2"/>
  <c r="F60" i="2" s="1"/>
  <c r="A59" i="2"/>
  <c r="BR59" i="2" s="1"/>
  <c r="C39" i="3"/>
  <c r="AA81" i="2"/>
  <c r="A39" i="3"/>
  <c r="FB59" i="2" l="1"/>
  <c r="FF59" i="2"/>
  <c r="FE59" i="2"/>
  <c r="FC59" i="2"/>
  <c r="FG59" i="2"/>
  <c r="FD59" i="2"/>
  <c r="EJ61" i="2"/>
  <c r="EU61" i="2"/>
  <c r="ER61" i="2"/>
  <c r="EI61" i="2"/>
  <c r="ES61" i="2"/>
  <c r="EX61" i="2"/>
  <c r="EW61" i="2"/>
  <c r="EL61" i="2"/>
  <c r="EY61" i="2"/>
  <c r="EZ61" i="2"/>
  <c r="EP61" i="2"/>
  <c r="EO61" i="2"/>
  <c r="EH61" i="2"/>
  <c r="EV61" i="2"/>
  <c r="EM61" i="2"/>
  <c r="EQ61" i="2"/>
  <c r="EK61" i="2"/>
  <c r="EN61" i="2"/>
  <c r="ET61" i="2"/>
  <c r="EW60" i="2"/>
  <c r="EH60" i="2"/>
  <c r="BR60" i="2"/>
  <c r="EV60" i="2"/>
  <c r="EX60" i="2"/>
  <c r="EJ60" i="2"/>
  <c r="EO60" i="2"/>
  <c r="EN60" i="2"/>
  <c r="ET60" i="2"/>
  <c r="EK60" i="2"/>
  <c r="EM60" i="2"/>
  <c r="EP60" i="2"/>
  <c r="ER60" i="2"/>
  <c r="EZ60" i="2"/>
  <c r="EL60" i="2"/>
  <c r="EY60" i="2"/>
  <c r="EI60" i="2"/>
  <c r="ES60" i="2"/>
  <c r="EQ60" i="2"/>
  <c r="EU60" i="2"/>
  <c r="A61" i="2"/>
  <c r="BR61" i="2" s="1"/>
  <c r="AD76" i="2"/>
  <c r="Z76" i="2"/>
  <c r="Z81" i="2"/>
  <c r="AP76" i="2"/>
  <c r="AH76" i="2"/>
  <c r="AL76" i="2"/>
  <c r="AC81" i="2"/>
  <c r="K81" i="2"/>
  <c r="N81" i="2"/>
  <c r="L81" i="2"/>
  <c r="Q81" i="2"/>
  <c r="AL81" i="2"/>
  <c r="AI81" i="2"/>
  <c r="R81" i="2"/>
  <c r="W81" i="2"/>
  <c r="T81" i="2"/>
  <c r="X81" i="2"/>
  <c r="U81" i="2"/>
  <c r="AD81" i="2"/>
  <c r="O81" i="2"/>
  <c r="AJ81" i="2"/>
  <c r="AG81" i="2"/>
  <c r="AF81" i="2"/>
  <c r="AM81" i="2"/>
  <c r="N76" i="2"/>
  <c r="R76" i="2"/>
  <c r="V76" i="2"/>
  <c r="C40" i="3"/>
  <c r="EF60" i="2" l="1" a="1"/>
  <c r="EF60" i="2" s="1"/>
  <c r="EG61" i="2"/>
  <c r="EG62" i="2" s="1"/>
  <c r="BU61" i="2"/>
  <c r="F62" i="2" s="1"/>
  <c r="EV62" i="2"/>
  <c r="EW62" i="2"/>
  <c r="ER62" i="2"/>
  <c r="EM62" i="2"/>
  <c r="EZ62" i="2"/>
  <c r="EL62" i="2"/>
  <c r="EI62" i="2"/>
  <c r="EN62" i="2"/>
  <c r="EQ62" i="2"/>
  <c r="EO62" i="2"/>
  <c r="EP62" i="2"/>
  <c r="EY62" i="2"/>
  <c r="ES62" i="2"/>
  <c r="EJ62" i="2"/>
  <c r="ET62" i="2"/>
  <c r="EK62" i="2"/>
  <c r="EH62" i="2"/>
  <c r="EX62" i="2"/>
  <c r="EU62" i="2"/>
  <c r="A63" i="2"/>
  <c r="BR63" i="2" s="1"/>
  <c r="H76" i="2"/>
  <c r="I76" i="2"/>
  <c r="E76" i="2"/>
  <c r="Y76" i="2"/>
  <c r="X76" i="2"/>
  <c r="AF76" i="2"/>
  <c r="AG76" i="2"/>
  <c r="AK76" i="2"/>
  <c r="AJ76" i="2"/>
  <c r="AN76" i="2"/>
  <c r="AO76" i="2"/>
  <c r="AC76" i="2"/>
  <c r="AB76" i="2"/>
  <c r="E81" i="2"/>
  <c r="M76" i="2"/>
  <c r="L76" i="2"/>
  <c r="Q76" i="2"/>
  <c r="P76" i="2"/>
  <c r="U76" i="2"/>
  <c r="T76" i="2"/>
  <c r="FD61" i="2" l="1"/>
  <c r="FB61" i="2"/>
  <c r="FG61" i="2"/>
  <c r="FE61" i="2"/>
  <c r="FF61" i="2"/>
  <c r="FC61" i="2"/>
  <c r="EF62" i="2" a="1"/>
  <c r="EF62" i="2" s="1"/>
  <c r="EO63" i="2"/>
  <c r="EP63" i="2"/>
  <c r="EZ63" i="2"/>
  <c r="EV63" i="2"/>
  <c r="EH63" i="2"/>
  <c r="EY63" i="2"/>
  <c r="EJ63" i="2"/>
  <c r="EQ63" i="2"/>
  <c r="EM63" i="2"/>
  <c r="EN63" i="2"/>
  <c r="EK63" i="2"/>
  <c r="EL63" i="2"/>
  <c r="EW63" i="2"/>
  <c r="EX63" i="2"/>
  <c r="ES63" i="2"/>
  <c r="EI63" i="2"/>
  <c r="ER63" i="2"/>
  <c r="EU63" i="2"/>
  <c r="ET63" i="2"/>
  <c r="BR62" i="2"/>
  <c r="A65" i="2"/>
  <c r="BR65" i="2" s="1"/>
  <c r="BU18" i="2"/>
  <c r="EG63" i="2" l="1"/>
  <c r="EG64" i="2" s="1"/>
  <c r="BU63" i="2"/>
  <c r="F64" i="2" s="1"/>
  <c r="EQ64" i="2"/>
  <c r="EV64" i="2"/>
  <c r="EI64" i="2"/>
  <c r="EL64" i="2"/>
  <c r="EY64" i="2"/>
  <c r="EP64" i="2"/>
  <c r="EU64" i="2"/>
  <c r="ES64" i="2"/>
  <c r="EK64" i="2"/>
  <c r="EM64" i="2"/>
  <c r="EH64" i="2"/>
  <c r="EO64" i="2"/>
  <c r="ET64" i="2"/>
  <c r="ER64" i="2"/>
  <c r="EW64" i="2"/>
  <c r="EJ64" i="2"/>
  <c r="EZ64" i="2"/>
  <c r="A67" i="2"/>
  <c r="BR67" i="2" s="1"/>
  <c r="EN64" i="2" l="1"/>
  <c r="EX64" i="2"/>
  <c r="FB63" i="2"/>
  <c r="FF63" i="2"/>
  <c r="FD63" i="2"/>
  <c r="FC63" i="2"/>
  <c r="FG63" i="2"/>
  <c r="FE63" i="2"/>
  <c r="EY65" i="2"/>
  <c r="EZ65" i="2"/>
  <c r="EM65" i="2"/>
  <c r="EN65" i="2"/>
  <c r="EQ65" i="2"/>
  <c r="EJ65" i="2"/>
  <c r="EK65" i="2"/>
  <c r="EO65" i="2"/>
  <c r="EL65" i="2"/>
  <c r="EX65" i="2"/>
  <c r="EW65" i="2"/>
  <c r="ES65" i="2"/>
  <c r="ER65" i="2"/>
  <c r="EV65" i="2"/>
  <c r="EP65" i="2"/>
  <c r="EI65" i="2"/>
  <c r="EU65" i="2"/>
  <c r="EH65" i="2"/>
  <c r="ET65" i="2"/>
  <c r="BR64" i="2"/>
  <c r="A69" i="2"/>
  <c r="EF64" i="2" l="1" a="1"/>
  <c r="EF64" i="2" s="1"/>
  <c r="EG65" i="2"/>
  <c r="EG66" i="2" s="1"/>
  <c r="BU65" i="2"/>
  <c r="F66" i="2" s="1"/>
  <c r="EO66" i="2"/>
  <c r="EQ66" i="2"/>
  <c r="EM66" i="2"/>
  <c r="EU66" i="2"/>
  <c r="ER66" i="2"/>
  <c r="EL66" i="2"/>
  <c r="EJ66" i="2"/>
  <c r="EP66" i="2"/>
  <c r="EW66" i="2"/>
  <c r="EH66" i="2"/>
  <c r="EV66" i="2"/>
  <c r="EX66" i="2"/>
  <c r="EK66" i="2"/>
  <c r="EY66" i="2"/>
  <c r="EN66" i="2"/>
  <c r="EZ66" i="2"/>
  <c r="J76" i="2"/>
  <c r="N16" i="3"/>
  <c r="I81" i="2"/>
  <c r="EW20" i="2"/>
  <c r="ES66" i="2" l="1"/>
  <c r="EI66" i="2"/>
  <c r="ET66" i="2"/>
  <c r="EF66" i="2" s="1" a="1"/>
  <c r="EF66" i="2" s="1"/>
  <c r="FD65" i="2"/>
  <c r="FF65" i="2"/>
  <c r="FC65" i="2"/>
  <c r="FE65" i="2"/>
  <c r="FB65" i="2"/>
  <c r="FG65" i="2"/>
  <c r="EK67" i="2"/>
  <c r="EN67" i="2"/>
  <c r="ER67" i="2"/>
  <c r="EM67" i="2"/>
  <c r="EX67" i="2"/>
  <c r="EJ67" i="2"/>
  <c r="EU67" i="2"/>
  <c r="EW67" i="2"/>
  <c r="EQ67" i="2"/>
  <c r="EV67" i="2"/>
  <c r="EO67" i="2"/>
  <c r="EP67" i="2"/>
  <c r="ES67" i="2"/>
  <c r="EY67" i="2"/>
  <c r="EH67" i="2"/>
  <c r="EL67" i="2"/>
  <c r="ET67" i="2"/>
  <c r="EI67" i="2"/>
  <c r="EZ67" i="2"/>
  <c r="BR66" i="2"/>
  <c r="EK20" i="2"/>
  <c r="EH20" i="2"/>
  <c r="EJ20" i="2"/>
  <c r="EI20" i="2"/>
  <c r="EL20" i="2"/>
  <c r="EO20" i="2"/>
  <c r="EQ20" i="2"/>
  <c r="EV20" i="2"/>
  <c r="EX20" i="2"/>
  <c r="ER20" i="2"/>
  <c r="EN20" i="2"/>
  <c r="ET20" i="2"/>
  <c r="EY20" i="2"/>
  <c r="EZ20" i="2"/>
  <c r="DI20" i="2" a="1"/>
  <c r="DI20" i="2" s="1"/>
  <c r="DI19" i="2" s="1"/>
  <c r="EG20" i="2"/>
  <c r="EU20" i="2"/>
  <c r="ES20" i="2"/>
  <c r="EP20" i="2"/>
  <c r="EM20" i="2"/>
  <c r="EG67" i="2" l="1"/>
  <c r="EG68" i="2" s="1"/>
  <c r="BU67" i="2"/>
  <c r="F68" i="2" s="1"/>
  <c r="AE13" i="2"/>
  <c r="N41" i="3" s="1"/>
  <c r="EF20" i="2" a="1"/>
  <c r="EF20" i="2" s="1"/>
  <c r="EV68" i="2" l="1"/>
  <c r="EN68" i="2"/>
  <c r="EQ68" i="2"/>
  <c r="EU68" i="2"/>
  <c r="EH68" i="2"/>
  <c r="ER68" i="2"/>
  <c r="EW68" i="2"/>
  <c r="EP68" i="2"/>
  <c r="EY68" i="2"/>
  <c r="ET68" i="2"/>
  <c r="EO68" i="2"/>
  <c r="EK68" i="2"/>
  <c r="EM68" i="2"/>
  <c r="EI68" i="2"/>
  <c r="EJ68" i="2"/>
  <c r="EZ68" i="2"/>
  <c r="EX68" i="2"/>
  <c r="ES68" i="2"/>
  <c r="EL68" i="2"/>
  <c r="FB67" i="2"/>
  <c r="FB17" i="2" s="1"/>
  <c r="S13" i="2" s="1"/>
  <c r="FF67" i="2"/>
  <c r="FF17" i="2" s="1"/>
  <c r="W13" i="2" s="1"/>
  <c r="FE67" i="2"/>
  <c r="FE17" i="2" s="1"/>
  <c r="V13" i="2" s="1"/>
  <c r="FC67" i="2"/>
  <c r="FC17" i="2" s="1"/>
  <c r="T13" i="2" s="1"/>
  <c r="FG67" i="2"/>
  <c r="FD67" i="2"/>
  <c r="FD17" i="2" s="1"/>
  <c r="U13" i="2" s="1"/>
  <c r="P13" i="2"/>
  <c r="K13" i="2"/>
  <c r="O13" i="2"/>
  <c r="M13" i="2"/>
  <c r="N13" i="2"/>
  <c r="Q13" i="2"/>
  <c r="L13" i="2"/>
  <c r="H13" i="2"/>
  <c r="J13" i="2"/>
  <c r="I13" i="2"/>
  <c r="G13" i="2"/>
  <c r="BR68" i="2"/>
  <c r="EF68" i="2" l="1" a="1"/>
  <c r="EF68" i="2" s="1"/>
  <c r="EF15" i="2" s="1"/>
  <c r="FG17" i="2"/>
  <c r="DI15" i="2"/>
  <c r="FD15" i="2" l="1"/>
  <c r="DI14" i="2"/>
  <c r="X13" i="2"/>
  <c r="F41" i="3" l="1"/>
  <c r="CQ13" i="2" l="1" a="1"/>
  <c r="CQ13" i="2" s="1"/>
  <c r="CQ14" i="2" a="1"/>
  <c r="CQ14" i="2" s="1"/>
  <c r="CQ12" i="2" a="1"/>
  <c r="CQ12" i="2" s="1"/>
  <c r="CR14" i="2" l="1"/>
  <c r="CR13" i="2"/>
  <c r="CQ15" i="2"/>
  <c r="CR12" i="2"/>
  <c r="CR15" i="2"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<sst xmlns="http://schemas.openxmlformats.org/spreadsheetml/2006/main" count="4717" uniqueCount="2088">
  <si>
    <t>COACH CARD</t>
  </si>
  <si>
    <t>Competition:</t>
  </si>
  <si>
    <t>Event:</t>
  </si>
  <si>
    <t>Male Solo Technical</t>
  </si>
  <si>
    <t>Age group:</t>
  </si>
  <si>
    <t>Seniors 15 -&gt;</t>
  </si>
  <si>
    <t>Name of Competitor(s):</t>
  </si>
  <si>
    <t>ELEMENTS IN ORDER OF PERFORMANCE</t>
  </si>
  <si>
    <t>Events</t>
  </si>
  <si>
    <t>Male Solo Free</t>
  </si>
  <si>
    <t>Mixed Duet Technical</t>
  </si>
  <si>
    <t>Mixed Duet Free</t>
  </si>
  <si>
    <t>Acrobatic</t>
  </si>
  <si>
    <t>Age Group</t>
  </si>
  <si>
    <t>12 and under</t>
  </si>
  <si>
    <t>Parts</t>
  </si>
  <si>
    <t>Hybrid</t>
  </si>
  <si>
    <t>Technical Required Element</t>
  </si>
  <si>
    <t>Transition</t>
  </si>
  <si>
    <t>Hybrids</t>
  </si>
  <si>
    <t>TRE</t>
  </si>
  <si>
    <t>Technical</t>
  </si>
  <si>
    <t>Group 1/2</t>
  </si>
  <si>
    <t>Event / Age group</t>
  </si>
  <si>
    <t>Male Solo Free / 12 and under</t>
  </si>
  <si>
    <t>Mixed Duet Free / 12 and under</t>
  </si>
  <si>
    <t>Male Solo Technical / Seniors 15 -&gt;</t>
  </si>
  <si>
    <t>Male Solo Free / Seniors 15 -&gt;</t>
  </si>
  <si>
    <t>Mixed Duet Technical / Seniors 15 -&gt;</t>
  </si>
  <si>
    <t>Mixed Duet Free / Seniors 15 -&gt;</t>
  </si>
  <si>
    <t>Conn.Hybrid</t>
  </si>
  <si>
    <t>Conn.Mov.</t>
  </si>
  <si>
    <t>Thrust Hyb</t>
  </si>
  <si>
    <t>Solo hyb</t>
  </si>
  <si>
    <t>720 hyb</t>
  </si>
  <si>
    <t>Duet hyb</t>
  </si>
  <si>
    <t>Time start</t>
  </si>
  <si>
    <t>Time end</t>
  </si>
  <si>
    <t>Min</t>
  </si>
  <si>
    <t>Sec</t>
  </si>
  <si>
    <t>Part</t>
  </si>
  <si>
    <t>Variant</t>
  </si>
  <si>
    <t>H15</t>
  </si>
  <si>
    <t>H15:I15</t>
  </si>
  <si>
    <t>I15</t>
  </si>
  <si>
    <t>Elements to use</t>
  </si>
  <si>
    <t>Used elements</t>
  </si>
  <si>
    <t>Trans.</t>
  </si>
  <si>
    <t>Conn.M</t>
  </si>
  <si>
    <t>Time</t>
  </si>
  <si>
    <t>Total time:</t>
  </si>
  <si>
    <t>Element
number</t>
  </si>
  <si>
    <t>Total</t>
  </si>
  <si>
    <t>Sum</t>
  </si>
  <si>
    <t>Routine total:</t>
  </si>
  <si>
    <t>DECLARED DIFFICULTY</t>
  </si>
  <si>
    <t>T1</t>
  </si>
  <si>
    <t>T2</t>
  </si>
  <si>
    <t>T7</t>
  </si>
  <si>
    <t>T8</t>
  </si>
  <si>
    <t>R1</t>
  </si>
  <si>
    <t>R2</t>
  </si>
  <si>
    <t>R3</t>
  </si>
  <si>
    <t>R4</t>
  </si>
  <si>
    <t>R6</t>
  </si>
  <si>
    <t>C3</t>
  </si>
  <si>
    <t>C4</t>
  </si>
  <si>
    <t>C5</t>
  </si>
  <si>
    <t>DD code</t>
  </si>
  <si>
    <t>DD value</t>
  </si>
  <si>
    <t>Bonus code</t>
  </si>
  <si>
    <t>Bonus value</t>
  </si>
  <si>
    <t>TRE code</t>
  </si>
  <si>
    <t>TRE value</t>
  </si>
  <si>
    <t>1a</t>
  </si>
  <si>
    <t>Solo</t>
  </si>
  <si>
    <t>Duet</t>
  </si>
  <si>
    <t>Mixed</t>
  </si>
  <si>
    <t>Team</t>
  </si>
  <si>
    <t>1b</t>
  </si>
  <si>
    <t>2a</t>
  </si>
  <si>
    <t>2b</t>
  </si>
  <si>
    <t>4a</t>
  </si>
  <si>
    <t>4b</t>
  </si>
  <si>
    <t>5a</t>
  </si>
  <si>
    <t>5b</t>
  </si>
  <si>
    <t>3a</t>
  </si>
  <si>
    <t>3b</t>
  </si>
  <si>
    <t>1PC</t>
  </si>
  <si>
    <t>2PC</t>
  </si>
  <si>
    <t>3PC</t>
  </si>
  <si>
    <t>4PC</t>
  </si>
  <si>
    <t>5PC</t>
  </si>
  <si>
    <t>6PC</t>
  </si>
  <si>
    <t>L-value</t>
  </si>
  <si>
    <t>L-code</t>
  </si>
  <si>
    <t>L</t>
  </si>
  <si>
    <t>L!</t>
  </si>
  <si>
    <t>SL&gt;</t>
  </si>
  <si>
    <t>L!f</t>
  </si>
  <si>
    <t>SL!&gt;</t>
  </si>
  <si>
    <t>Lr1</t>
  </si>
  <si>
    <t>J</t>
  </si>
  <si>
    <t>L!r1</t>
  </si>
  <si>
    <t>SL!f&gt;</t>
  </si>
  <si>
    <t>SL!r1&gt;</t>
  </si>
  <si>
    <t>Jf</t>
  </si>
  <si>
    <t>L!fr1</t>
  </si>
  <si>
    <t>SL!fr1&gt;</t>
  </si>
  <si>
    <t>W!f</t>
  </si>
  <si>
    <t>Jd</t>
  </si>
  <si>
    <t>W!fr1</t>
  </si>
  <si>
    <t>W!s1F</t>
  </si>
  <si>
    <t>A-code</t>
  </si>
  <si>
    <t>A-value</t>
  </si>
  <si>
    <t>AJ</t>
  </si>
  <si>
    <t>AW</t>
  </si>
  <si>
    <t>Team AJ/AW</t>
  </si>
  <si>
    <t>Surf</t>
  </si>
  <si>
    <t>BS</t>
  </si>
  <si>
    <t>BL</t>
  </si>
  <si>
    <t>Team BS/BL</t>
  </si>
  <si>
    <t>B-code</t>
  </si>
  <si>
    <t>B-value</t>
  </si>
  <si>
    <t>St</t>
  </si>
  <si>
    <t>Team CO/CT/CC</t>
  </si>
  <si>
    <t>C-code</t>
  </si>
  <si>
    <t>C-value</t>
  </si>
  <si>
    <t>CO</t>
  </si>
  <si>
    <t>CT</t>
  </si>
  <si>
    <t>CC</t>
  </si>
  <si>
    <t>Thr~St</t>
  </si>
  <si>
    <t>Team PP/PF</t>
  </si>
  <si>
    <t>P-code</t>
  </si>
  <si>
    <t>P-value</t>
  </si>
  <si>
    <t>PP</t>
  </si>
  <si>
    <t>PF</t>
  </si>
  <si>
    <t>P</t>
  </si>
  <si>
    <t>p</t>
  </si>
  <si>
    <t>Knees</t>
  </si>
  <si>
    <t>B</t>
  </si>
  <si>
    <t>DB</t>
  </si>
  <si>
    <t>a</t>
  </si>
  <si>
    <t>Chariot</t>
  </si>
  <si>
    <t>Box</t>
  </si>
  <si>
    <t>2SupB</t>
  </si>
  <si>
    <t>2SupBB</t>
  </si>
  <si>
    <t>2Sup</t>
  </si>
  <si>
    <t>Triangle</t>
  </si>
  <si>
    <t>Rhombus</t>
  </si>
  <si>
    <t>Star</t>
  </si>
  <si>
    <t>Star6</t>
  </si>
  <si>
    <t>Star7</t>
  </si>
  <si>
    <t>Hand</t>
  </si>
  <si>
    <t>(2)</t>
  </si>
  <si>
    <t>Compass</t>
  </si>
  <si>
    <t>hand</t>
  </si>
  <si>
    <t>Fo</t>
  </si>
  <si>
    <t>Carp</t>
  </si>
  <si>
    <t>Carp4</t>
  </si>
  <si>
    <t>P4l</t>
  </si>
  <si>
    <t>'&gt;StSh&gt;</t>
  </si>
  <si>
    <t>‘&gt;’H&gt;</t>
  </si>
  <si>
    <t>‘~St&gt;</t>
  </si>
  <si>
    <t>‘&gt;Stsh</t>
  </si>
  <si>
    <t>‘~St</t>
  </si>
  <si>
    <t>‘~St*</t>
  </si>
  <si>
    <t>‘&gt;StH&gt;</t>
  </si>
  <si>
    <t>‘&gt;’&gt;</t>
  </si>
  <si>
    <t>Thr&gt;PP&gt;</t>
  </si>
  <si>
    <t>‘&gt;P&gt;</t>
  </si>
  <si>
    <t>Thr&gt;Pb₃&gt;</t>
  </si>
  <si>
    <t>Roll&gt;P&gt;</t>
  </si>
  <si>
    <t>St&gt;Stp</t>
  </si>
  <si>
    <t>Thr&gt;StH</t>
  </si>
  <si>
    <t>‘↷L</t>
  </si>
  <si>
    <t>St&gt;’H&gt;</t>
  </si>
  <si>
    <t>‘&gt;StSt&gt;</t>
  </si>
  <si>
    <t>Thr&gt;P</t>
  </si>
  <si>
    <t>L’</t>
  </si>
  <si>
    <t>St+Thr(2)</t>
  </si>
  <si>
    <t>Sn</t>
  </si>
  <si>
    <t>SnH</t>
  </si>
  <si>
    <t>St&gt;St&gt;</t>
  </si>
  <si>
    <t>St’’</t>
  </si>
  <si>
    <t>‘&gt;Stm</t>
  </si>
  <si>
    <t>Thr~St&gt;</t>
  </si>
  <si>
    <t>&gt;HandSurf&gt;</t>
  </si>
  <si>
    <t>‘&gt;L&gt;</t>
  </si>
  <si>
    <t>Toss&gt;hand&gt;</t>
  </si>
  <si>
    <t>Thr&gt;3head&gt;</t>
  </si>
  <si>
    <t>(2)Thr &gt;hand&gt;</t>
  </si>
  <si>
    <t>Thr&gt;Pb²&gt;</t>
  </si>
  <si>
    <t>‘&gt;Stp</t>
  </si>
  <si>
    <t>L&gt;hand</t>
  </si>
  <si>
    <t>st</t>
  </si>
  <si>
    <t>StH</t>
  </si>
  <si>
    <t>stH</t>
  </si>
  <si>
    <t>StH’</t>
  </si>
  <si>
    <t>StH’’</t>
  </si>
  <si>
    <t>StHt</t>
  </si>
  <si>
    <t>St’</t>
  </si>
  <si>
    <t>St’’Hp</t>
  </si>
  <si>
    <t>St’’Hc</t>
  </si>
  <si>
    <t>2SupH</t>
  </si>
  <si>
    <t>2mSup</t>
  </si>
  <si>
    <t>Ꞁ</t>
  </si>
  <si>
    <t>StH’’’</t>
  </si>
  <si>
    <t>Lh</t>
  </si>
  <si>
    <t>LM</t>
  </si>
  <si>
    <t>Lmu</t>
  </si>
  <si>
    <t>L(2)</t>
  </si>
  <si>
    <t>Lh(2)</t>
  </si>
  <si>
    <t>L’’</t>
  </si>
  <si>
    <t>LMp</t>
  </si>
  <si>
    <t>LSurf</t>
  </si>
  <si>
    <t>L»</t>
  </si>
  <si>
    <t>2Sup»</t>
  </si>
  <si>
    <t>Lh²*</t>
  </si>
  <si>
    <t>St»</t>
  </si>
  <si>
    <t>Trin</t>
  </si>
  <si>
    <t>St’’Hs</t>
  </si>
  <si>
    <t>Forw</t>
  </si>
  <si>
    <t>Back</t>
  </si>
  <si>
    <t>FORW</t>
  </si>
  <si>
    <t>Side</t>
  </si>
  <si>
    <t>Up</t>
  </si>
  <si>
    <t>Rev</t>
  </si>
  <si>
    <t>SiA</t>
  </si>
  <si>
    <t>F2A</t>
  </si>
  <si>
    <t>3pA</t>
  </si>
  <si>
    <t>3pA/</t>
  </si>
  <si>
    <t>FA</t>
  </si>
  <si>
    <t>HA</t>
  </si>
  <si>
    <t>Go</t>
  </si>
  <si>
    <t>H+L</t>
  </si>
  <si>
    <t>AA</t>
  </si>
  <si>
    <t>FP+FK</t>
  </si>
  <si>
    <t>SP+K</t>
  </si>
  <si>
    <t>AK/</t>
  </si>
  <si>
    <t>Br1K</t>
  </si>
  <si>
    <t>3pK/</t>
  </si>
  <si>
    <t>F2Ɔb</t>
  </si>
  <si>
    <t>F2Ɔ+H</t>
  </si>
  <si>
    <t>YY</t>
  </si>
  <si>
    <t>SiF+FB</t>
  </si>
  <si>
    <t>FA+PF</t>
  </si>
  <si>
    <t>SiF+FP</t>
  </si>
  <si>
    <t>SiF/</t>
  </si>
  <si>
    <t>BF+Le</t>
  </si>
  <si>
    <t>SP+L</t>
  </si>
  <si>
    <t>SP+KF</t>
  </si>
  <si>
    <t>F2A+PF</t>
  </si>
  <si>
    <t>4pF/</t>
  </si>
  <si>
    <t>SiFb/</t>
  </si>
  <si>
    <t>PF+FP</t>
  </si>
  <si>
    <t>SF/</t>
  </si>
  <si>
    <t>PL+LP</t>
  </si>
  <si>
    <t>PA3*</t>
  </si>
  <si>
    <t>4pA3*</t>
  </si>
  <si>
    <t>BrH</t>
  </si>
  <si>
    <t>3pH</t>
  </si>
  <si>
    <t>ShH</t>
  </si>
  <si>
    <t>F2H</t>
  </si>
  <si>
    <t>AH</t>
  </si>
  <si>
    <t>3pA2</t>
  </si>
  <si>
    <t>Br1A2</t>
  </si>
  <si>
    <t>FA2+PF</t>
  </si>
  <si>
    <t>F2A2+PF</t>
  </si>
  <si>
    <t>FB2+PF+KF</t>
  </si>
  <si>
    <t>F2B2+PF+PF</t>
  </si>
  <si>
    <t>F2A2</t>
  </si>
  <si>
    <t>4pA2</t>
  </si>
  <si>
    <t>FSh</t>
  </si>
  <si>
    <t>SiSh</t>
  </si>
  <si>
    <t>2LSh</t>
  </si>
  <si>
    <t>F1H</t>
  </si>
  <si>
    <t>ps</t>
  </si>
  <si>
    <t>psl</t>
  </si>
  <si>
    <t>PPx</t>
  </si>
  <si>
    <t>FPx</t>
  </si>
  <si>
    <t>FP</t>
  </si>
  <si>
    <t>FF</t>
  </si>
  <si>
    <t>SiSb</t>
  </si>
  <si>
    <t>Bp</t>
  </si>
  <si>
    <t>ShF</t>
  </si>
  <si>
    <t>E</t>
  </si>
  <si>
    <t>I</t>
  </si>
  <si>
    <t>PH/</t>
  </si>
  <si>
    <t>Li4H</t>
  </si>
  <si>
    <t>W</t>
  </si>
  <si>
    <t>Py</t>
  </si>
  <si>
    <t>AP</t>
  </si>
  <si>
    <t>ShF*</t>
  </si>
  <si>
    <t>Su</t>
  </si>
  <si>
    <t>Ta</t>
  </si>
  <si>
    <t>SiS</t>
  </si>
  <si>
    <t>F1S</t>
  </si>
  <si>
    <t>FS</t>
  </si>
  <si>
    <t>F1S/</t>
  </si>
  <si>
    <t>Le</t>
  </si>
  <si>
    <t>Li</t>
  </si>
  <si>
    <t>Ch</t>
  </si>
  <si>
    <t>Tw</t>
  </si>
  <si>
    <t>Tw*</t>
  </si>
  <si>
    <t>AV</t>
  </si>
  <si>
    <t>AF*</t>
  </si>
  <si>
    <t>SpSp</t>
  </si>
  <si>
    <t>SiF</t>
  </si>
  <si>
    <t>BBb</t>
  </si>
  <si>
    <t>Li*</t>
  </si>
  <si>
    <t>SiV</t>
  </si>
  <si>
    <t>AP/</t>
  </si>
  <si>
    <t>PH*</t>
  </si>
  <si>
    <t>FHP/</t>
  </si>
  <si>
    <t>FF*</t>
  </si>
  <si>
    <t>AL/</t>
  </si>
  <si>
    <t>FP*</t>
  </si>
  <si>
    <t>SiF*</t>
  </si>
  <si>
    <t>AP\</t>
  </si>
  <si>
    <t>ld</t>
  </si>
  <si>
    <t>he</t>
  </si>
  <si>
    <t>2he</t>
  </si>
  <si>
    <t>cr</t>
  </si>
  <si>
    <t>2cr</t>
  </si>
  <si>
    <t>kr</t>
  </si>
  <si>
    <t>vs</t>
  </si>
  <si>
    <t>2kr</t>
  </si>
  <si>
    <t>2vs</t>
  </si>
  <si>
    <t>sw</t>
  </si>
  <si>
    <t>2sw</t>
  </si>
  <si>
    <t>gl</t>
  </si>
  <si>
    <t>2gl</t>
  </si>
  <si>
    <t>ba</t>
  </si>
  <si>
    <t>2ba</t>
  </si>
  <si>
    <t>ea</t>
  </si>
  <si>
    <t>2ea</t>
  </si>
  <si>
    <t>sa</t>
  </si>
  <si>
    <t>2sa</t>
  </si>
  <si>
    <t>ne</t>
  </si>
  <si>
    <t>2ne</t>
  </si>
  <si>
    <t>ey</t>
  </si>
  <si>
    <t>2ey</t>
  </si>
  <si>
    <t>ln</t>
  </si>
  <si>
    <t>2ln</t>
  </si>
  <si>
    <t>do</t>
  </si>
  <si>
    <t>2do</t>
  </si>
  <si>
    <t>si</t>
  </si>
  <si>
    <t>2si</t>
  </si>
  <si>
    <t>mo</t>
  </si>
  <si>
    <t>2mo</t>
  </si>
  <si>
    <t>sh</t>
  </si>
  <si>
    <t>2sh</t>
  </si>
  <si>
    <t>spl</t>
  </si>
  <si>
    <t>pe</t>
  </si>
  <si>
    <t>2pe</t>
  </si>
  <si>
    <t>cd</t>
  </si>
  <si>
    <t>2cd</t>
  </si>
  <si>
    <t>sc</t>
  </si>
  <si>
    <t>2sc</t>
  </si>
  <si>
    <t>pt</t>
  </si>
  <si>
    <t>2pt</t>
  </si>
  <si>
    <t>co</t>
  </si>
  <si>
    <t>2co</t>
  </si>
  <si>
    <t>mr</t>
  </si>
  <si>
    <t>2mr</t>
  </si>
  <si>
    <t>sb</t>
  </si>
  <si>
    <t>2sb</t>
  </si>
  <si>
    <t>bi</t>
  </si>
  <si>
    <t>2bi</t>
  </si>
  <si>
    <t>fl</t>
  </si>
  <si>
    <t>2fl</t>
  </si>
  <si>
    <t>so</t>
  </si>
  <si>
    <t>2so</t>
  </si>
  <si>
    <t>tu</t>
  </si>
  <si>
    <t>2tu</t>
  </si>
  <si>
    <t>se</t>
  </si>
  <si>
    <t>2se</t>
  </si>
  <si>
    <t>ro</t>
  </si>
  <si>
    <t>2ro</t>
  </si>
  <si>
    <t>lp</t>
  </si>
  <si>
    <t>2lp</t>
  </si>
  <si>
    <t>bo</t>
  </si>
  <si>
    <t>2bo</t>
  </si>
  <si>
    <t>bb</t>
  </si>
  <si>
    <t>2bb</t>
  </si>
  <si>
    <t>kn</t>
  </si>
  <si>
    <t>2kn</t>
  </si>
  <si>
    <t>be</t>
  </si>
  <si>
    <t>2be</t>
  </si>
  <si>
    <t>to</t>
  </si>
  <si>
    <t>2to</t>
  </si>
  <si>
    <t>ow</t>
  </si>
  <si>
    <t>2ow</t>
  </si>
  <si>
    <t>br</t>
  </si>
  <si>
    <t>2br</t>
  </si>
  <si>
    <t>dr</t>
  </si>
  <si>
    <t>2dr</t>
  </si>
  <si>
    <t>qu</t>
  </si>
  <si>
    <t>2qu</t>
  </si>
  <si>
    <t>Thr</t>
  </si>
  <si>
    <t>Shou</t>
  </si>
  <si>
    <t>Sho</t>
  </si>
  <si>
    <t>Feet</t>
  </si>
  <si>
    <t>Sq</t>
  </si>
  <si>
    <t>2Form</t>
  </si>
  <si>
    <t>2Sup’</t>
  </si>
  <si>
    <t>Tripl</t>
  </si>
  <si>
    <t>3Pair</t>
  </si>
  <si>
    <t>surf</t>
  </si>
  <si>
    <t>feet</t>
  </si>
  <si>
    <t>ki</t>
  </si>
  <si>
    <t>2ki</t>
  </si>
  <si>
    <t>tk</t>
  </si>
  <si>
    <t>2tk</t>
  </si>
  <si>
    <t>pa</t>
  </si>
  <si>
    <t>2pa</t>
  </si>
  <si>
    <t>nj</t>
  </si>
  <si>
    <t>2nj</t>
  </si>
  <si>
    <t>pk</t>
  </si>
  <si>
    <t>2pk</t>
  </si>
  <si>
    <t>mn</t>
  </si>
  <si>
    <t>2mn</t>
  </si>
  <si>
    <t>sp</t>
  </si>
  <si>
    <t>2sp</t>
  </si>
  <si>
    <t>ar</t>
  </si>
  <si>
    <t>2ar</t>
  </si>
  <si>
    <t>kt</t>
  </si>
  <si>
    <t>2kt</t>
  </si>
  <si>
    <t>ma</t>
  </si>
  <si>
    <t>2ma</t>
  </si>
  <si>
    <t>ja</t>
  </si>
  <si>
    <t>2ja</t>
  </si>
  <si>
    <t>rg</t>
  </si>
  <si>
    <t>2rg</t>
  </si>
  <si>
    <t>T0,5</t>
  </si>
  <si>
    <t>T1,5</t>
  </si>
  <si>
    <t>t0,5</t>
  </si>
  <si>
    <t>t1</t>
  </si>
  <si>
    <t>t1,5</t>
  </si>
  <si>
    <t>t2</t>
  </si>
  <si>
    <t>s0,5</t>
  </si>
  <si>
    <t>S0,5</t>
  </si>
  <si>
    <t>s1</t>
  </si>
  <si>
    <t>s1,5</t>
  </si>
  <si>
    <t>s2</t>
  </si>
  <si>
    <t>s2,5</t>
  </si>
  <si>
    <t>s3</t>
  </si>
  <si>
    <t>h</t>
  </si>
  <si>
    <t>f1</t>
  </si>
  <si>
    <t>f1,5</t>
  </si>
  <si>
    <t>f2</t>
  </si>
  <si>
    <t>c</t>
  </si>
  <si>
    <t>d</t>
  </si>
  <si>
    <t>dt0,5</t>
  </si>
  <si>
    <t>dt1,5</t>
  </si>
  <si>
    <t>S0,5t0,5</t>
  </si>
  <si>
    <t>s1t0,5</t>
  </si>
  <si>
    <t>s1t1</t>
  </si>
  <si>
    <t>s1t1,5</t>
  </si>
  <si>
    <t>s1t2</t>
  </si>
  <si>
    <t>s1t2,5</t>
  </si>
  <si>
    <t>s2t0,5</t>
  </si>
  <si>
    <t>s2t1</t>
  </si>
  <si>
    <t>u1</t>
  </si>
  <si>
    <t>u2</t>
  </si>
  <si>
    <t>u3</t>
  </si>
  <si>
    <t>u4</t>
  </si>
  <si>
    <t>u5</t>
  </si>
  <si>
    <t>u6</t>
  </si>
  <si>
    <t>u7</t>
  </si>
  <si>
    <t>u8</t>
  </si>
  <si>
    <t>u9</t>
  </si>
  <si>
    <t>u10</t>
  </si>
  <si>
    <t>u11</t>
  </si>
  <si>
    <t>u12</t>
  </si>
  <si>
    <t>u13</t>
  </si>
  <si>
    <t>u14</t>
  </si>
  <si>
    <t>u15</t>
  </si>
  <si>
    <t>u16</t>
  </si>
  <si>
    <t>r0,5</t>
  </si>
  <si>
    <t>R0,5</t>
  </si>
  <si>
    <t>r0,5*</t>
  </si>
  <si>
    <t>r0,5!</t>
  </si>
  <si>
    <t>r0,5L</t>
  </si>
  <si>
    <t>r1</t>
  </si>
  <si>
    <t>r1*</t>
  </si>
  <si>
    <t>r1!</t>
  </si>
  <si>
    <t>r1L</t>
  </si>
  <si>
    <t>r1,5</t>
  </si>
  <si>
    <t>R1,5</t>
  </si>
  <si>
    <t>r1,5!</t>
  </si>
  <si>
    <t>r2</t>
  </si>
  <si>
    <t>r2*</t>
  </si>
  <si>
    <t>w1</t>
  </si>
  <si>
    <t>w2</t>
  </si>
  <si>
    <t>w3</t>
  </si>
  <si>
    <t>w4</t>
  </si>
  <si>
    <t>w5</t>
  </si>
  <si>
    <t>w6</t>
  </si>
  <si>
    <t>w7</t>
  </si>
  <si>
    <t>w8</t>
  </si>
  <si>
    <t>w9</t>
  </si>
  <si>
    <t>w10</t>
  </si>
  <si>
    <t>w11</t>
  </si>
  <si>
    <t>w12</t>
  </si>
  <si>
    <t>w13</t>
  </si>
  <si>
    <t>w14</t>
  </si>
  <si>
    <t>w15</t>
  </si>
  <si>
    <t>y1</t>
  </si>
  <si>
    <t>y2</t>
  </si>
  <si>
    <t>y3</t>
  </si>
  <si>
    <t>y4</t>
  </si>
  <si>
    <t>y5</t>
  </si>
  <si>
    <t>y6</t>
  </si>
  <si>
    <t>y7</t>
  </si>
  <si>
    <t>y8</t>
  </si>
  <si>
    <t>y9</t>
  </si>
  <si>
    <t>y10</t>
  </si>
  <si>
    <t>y11</t>
  </si>
  <si>
    <t>y12</t>
  </si>
  <si>
    <t>y13</t>
  </si>
  <si>
    <t>y14</t>
  </si>
  <si>
    <t>y15</t>
  </si>
  <si>
    <t>R/</t>
  </si>
  <si>
    <t>R/*</t>
  </si>
  <si>
    <t>R/l</t>
  </si>
  <si>
    <t>R0,5h</t>
  </si>
  <si>
    <t>R0,5l</t>
  </si>
  <si>
    <t>R1*</t>
  </si>
  <si>
    <t>R1h</t>
  </si>
  <si>
    <t>j1</t>
  </si>
  <si>
    <t>j2</t>
  </si>
  <si>
    <t>j3</t>
  </si>
  <si>
    <t>j4</t>
  </si>
  <si>
    <t>j5</t>
  </si>
  <si>
    <t>j6</t>
  </si>
  <si>
    <t>j7</t>
  </si>
  <si>
    <t>j8</t>
  </si>
  <si>
    <t>j9</t>
  </si>
  <si>
    <t>j10</t>
  </si>
  <si>
    <t>j11</t>
  </si>
  <si>
    <t>j12</t>
  </si>
  <si>
    <t>j13</t>
  </si>
  <si>
    <t>j14</t>
  </si>
  <si>
    <t>j15</t>
  </si>
  <si>
    <t>j16</t>
  </si>
  <si>
    <t>j17</t>
  </si>
  <si>
    <t>j18</t>
  </si>
  <si>
    <t>j19</t>
  </si>
  <si>
    <t>j20</t>
  </si>
  <si>
    <t>j21</t>
  </si>
  <si>
    <t>j22</t>
  </si>
  <si>
    <t>j23</t>
  </si>
  <si>
    <t>j24</t>
  </si>
  <si>
    <t>j25</t>
  </si>
  <si>
    <t>r/L</t>
  </si>
  <si>
    <t>Acrobatic Airborn</t>
  </si>
  <si>
    <t>Acrobatic Combined</t>
  </si>
  <si>
    <t>Acrobatic Platform</t>
  </si>
  <si>
    <t>Hybrid - Duet</t>
  </si>
  <si>
    <t>Hybrid - Solo</t>
  </si>
  <si>
    <t>DD-J</t>
  </si>
  <si>
    <t>DD-K</t>
  </si>
  <si>
    <t>DD-L</t>
  </si>
  <si>
    <t>DD-M</t>
  </si>
  <si>
    <t>DD-N</t>
  </si>
  <si>
    <t>DD-O</t>
  </si>
  <si>
    <t>DD-P</t>
  </si>
  <si>
    <t>DD-Q</t>
  </si>
  <si>
    <t>DD-R</t>
  </si>
  <si>
    <t>Last
(X)</t>
  </si>
  <si>
    <t>pi</t>
  </si>
  <si>
    <t>2pi</t>
  </si>
  <si>
    <t>wi</t>
  </si>
  <si>
    <t>2wi</t>
  </si>
  <si>
    <t>2ld</t>
  </si>
  <si>
    <t>2spl</t>
  </si>
  <si>
    <t>Saftey limit</t>
  </si>
  <si>
    <t>Acrobatic Balance</t>
  </si>
  <si>
    <t>H.Thrust</t>
  </si>
  <si>
    <t>H.Solo</t>
  </si>
  <si>
    <t>H.Duet</t>
  </si>
  <si>
    <t>N</t>
  </si>
  <si>
    <t>Y</t>
  </si>
  <si>
    <t>Technical:</t>
  </si>
  <si>
    <t>Free:</t>
  </si>
  <si>
    <t>Elem.1</t>
  </si>
  <si>
    <t>H/T/A</t>
  </si>
  <si>
    <t>B.M.</t>
  </si>
  <si>
    <t>Value</t>
  </si>
  <si>
    <t>Elem.2</t>
  </si>
  <si>
    <t>Elem.3</t>
  </si>
  <si>
    <t>Elem.4</t>
  </si>
  <si>
    <t>Elem.5</t>
  </si>
  <si>
    <t>Elem.6</t>
  </si>
  <si>
    <t>Elem.7</t>
  </si>
  <si>
    <t>Elem.8</t>
  </si>
  <si>
    <t>Elem.9</t>
  </si>
  <si>
    <t>Elem.10</t>
  </si>
  <si>
    <t>Elem.11</t>
  </si>
  <si>
    <t>ThrSt</t>
  </si>
  <si>
    <t>‘St&gt;</t>
  </si>
  <si>
    <t>‘St</t>
  </si>
  <si>
    <t>Thr↷L</t>
  </si>
  <si>
    <t>Thr&gt;hand&gt;</t>
  </si>
  <si>
    <t>Thr&gt;base&gt;</t>
  </si>
  <si>
    <t>ThrSt&gt;</t>
  </si>
  <si>
    <r>
      <rPr>
        <b/>
        <sz val="8"/>
        <rFont val="Tahoma"/>
        <family val="2"/>
      </rPr>
      <t>Competition:</t>
    </r>
  </si>
  <si>
    <r>
      <rPr>
        <b/>
        <sz val="8"/>
        <rFont val="Tahoma"/>
        <family val="2"/>
      </rPr>
      <t>Event:</t>
    </r>
  </si>
  <si>
    <t xml:space="preserve">  PRELIMS</t>
  </si>
  <si>
    <t xml:space="preserve">  FINALS</t>
  </si>
  <si>
    <r>
      <rPr>
        <b/>
        <sz val="8"/>
        <rFont val="Tahoma"/>
        <family val="2"/>
      </rPr>
      <t>Theme:</t>
    </r>
  </si>
  <si>
    <r>
      <rPr>
        <b/>
        <sz val="8"/>
        <rFont val="Tahoma"/>
        <family val="2"/>
      </rPr>
      <t>Name of competitor(s):</t>
    </r>
  </si>
  <si>
    <r>
      <rPr>
        <b/>
        <sz val="8"/>
        <rFont val="Tahoma"/>
        <family val="2"/>
      </rPr>
      <t>ELEMENTS IN ORDER OF PERFORMANCE</t>
    </r>
  </si>
  <si>
    <r>
      <rPr>
        <b/>
        <sz val="8"/>
        <rFont val="Tahoma"/>
        <family val="2"/>
      </rPr>
      <t>TIME</t>
    </r>
  </si>
  <si>
    <r>
      <rPr>
        <b/>
        <sz val="8"/>
        <rFont val="Tahoma"/>
        <family val="2"/>
      </rPr>
      <t>PART</t>
    </r>
  </si>
  <si>
    <r>
      <rPr>
        <b/>
        <sz val="8"/>
        <rFont val="Tahoma"/>
        <family val="2"/>
      </rPr>
      <t>EL</t>
    </r>
  </si>
  <si>
    <r>
      <rPr>
        <b/>
        <sz val="8"/>
        <rFont val="Tahoma"/>
        <family val="2"/>
      </rPr>
      <t>BASE MARK</t>
    </r>
  </si>
  <si>
    <r>
      <rPr>
        <b/>
        <sz val="8"/>
        <rFont val="Tahoma"/>
        <family val="2"/>
      </rPr>
      <t>DECLARED DIFFICULTY</t>
    </r>
  </si>
  <si>
    <r>
      <rPr>
        <b/>
        <sz val="8"/>
        <rFont val="Tahoma"/>
        <family val="2"/>
      </rPr>
      <t>DD</t>
    </r>
  </si>
  <si>
    <t>Theme:</t>
  </si>
  <si>
    <t>Prelim:</t>
  </si>
  <si>
    <t>Final:</t>
  </si>
  <si>
    <t>Total DD:</t>
  </si>
  <si>
    <t>__________________________________________________</t>
  </si>
  <si>
    <t>__________________________________________________________________________</t>
  </si>
  <si>
    <t>__________________________</t>
  </si>
  <si>
    <t xml:space="preserve">Signature: </t>
  </si>
  <si>
    <t xml:space="preserve">Date: </t>
  </si>
  <si>
    <r>
      <rPr>
        <b/>
        <sz val="48"/>
        <color rgb="FF0182C5"/>
        <rFont val="Calibri"/>
        <family val="2"/>
      </rPr>
      <t>COACH CARD</t>
    </r>
  </si>
  <si>
    <t>F</t>
  </si>
  <si>
    <t>C</t>
  </si>
  <si>
    <t>PL-Check</t>
  </si>
  <si>
    <t>C3+</t>
  </si>
  <si>
    <t>C4+</t>
  </si>
  <si>
    <t>C5+</t>
  </si>
  <si>
    <t>TC</t>
  </si>
  <si>
    <t>Sweden</t>
  </si>
  <si>
    <t>Afghanistan - AFG</t>
  </si>
  <si>
    <t>Albania - ALB</t>
  </si>
  <si>
    <t>Algeria - ALG</t>
  </si>
  <si>
    <t>American Samoa - ASA</t>
  </si>
  <si>
    <t>Andorra - AND</t>
  </si>
  <si>
    <t>Angola - ANG</t>
  </si>
  <si>
    <t>Anguilla - AGU</t>
  </si>
  <si>
    <t>Antigua and Barbuda - ANT</t>
  </si>
  <si>
    <t>Argentina - ARG</t>
  </si>
  <si>
    <t>Armenia - ARM</t>
  </si>
  <si>
    <t>Aruba - ARU</t>
  </si>
  <si>
    <t>Australia - AUS</t>
  </si>
  <si>
    <t>Austria - AUT</t>
  </si>
  <si>
    <t>Azerbaijan - AZE</t>
  </si>
  <si>
    <t>Bahamas - BAH</t>
  </si>
  <si>
    <t>Bahrain - BRN</t>
  </si>
  <si>
    <t>Bangladesh - BAN</t>
  </si>
  <si>
    <t>Barbados - BAR</t>
  </si>
  <si>
    <t>Belarus - BLR</t>
  </si>
  <si>
    <t>Belgium - BEL</t>
  </si>
  <si>
    <t>Belize - BIZ</t>
  </si>
  <si>
    <t>Benin - BEN</t>
  </si>
  <si>
    <t>Bermuda - BER</t>
  </si>
  <si>
    <t>Bhutan - BHU</t>
  </si>
  <si>
    <t>Bolivia - BOL</t>
  </si>
  <si>
    <t>Bosnia and Herzegovina - BIH</t>
  </si>
  <si>
    <t>Botswana - BOT</t>
  </si>
  <si>
    <t>Brazil - BRA</t>
  </si>
  <si>
    <t>British Virgin Islands - IVB</t>
  </si>
  <si>
    <t>Brunei Darussalam - BRU</t>
  </si>
  <si>
    <t>Bulgaria - BUL</t>
  </si>
  <si>
    <t>Burkina Faso - BUR</t>
  </si>
  <si>
    <t>Burundi - BDI</t>
  </si>
  <si>
    <t>Cambodia - CAM</t>
  </si>
  <si>
    <t>Cameroon - CMR</t>
  </si>
  <si>
    <t>Canada - CAN</t>
  </si>
  <si>
    <t>Cape Verde - CPV</t>
  </si>
  <si>
    <t>Cayman Islands - CAY</t>
  </si>
  <si>
    <t>Central African Republic - CAF</t>
  </si>
  <si>
    <t>Chad - CHA</t>
  </si>
  <si>
    <t>Chile - CHI</t>
  </si>
  <si>
    <t>China - CHN</t>
  </si>
  <si>
    <t>Chinese Taipei - TPE</t>
  </si>
  <si>
    <t>Colombia - COL</t>
  </si>
  <si>
    <t>Comoros - COM</t>
  </si>
  <si>
    <t>Congo - CGO</t>
  </si>
  <si>
    <t>Cook Islands - COK</t>
  </si>
  <si>
    <t>Costa Rica - CRC</t>
  </si>
  <si>
    <t>Côte d'Ivoire - CIV</t>
  </si>
  <si>
    <t>Croatia - CRO</t>
  </si>
  <si>
    <t>Cuba - CUB</t>
  </si>
  <si>
    <t>Curacao - CUR</t>
  </si>
  <si>
    <t>Cyprus - CYP</t>
  </si>
  <si>
    <t>Czech Republic - CZE</t>
  </si>
  <si>
    <t>Democratic People's Republic of Korea - PRK</t>
  </si>
  <si>
    <t>Democratic Republic of the Congo - COD</t>
  </si>
  <si>
    <t>Democratic Republic of Timor-Leste - TLS</t>
  </si>
  <si>
    <t>Denmark - DEN</t>
  </si>
  <si>
    <t>Djibouti - DJI</t>
  </si>
  <si>
    <t>Dominica - DMA</t>
  </si>
  <si>
    <t>Dominican Republic - DOM</t>
  </si>
  <si>
    <t>Ecuador - ECU</t>
  </si>
  <si>
    <t>Egypt - EGY</t>
  </si>
  <si>
    <t>El Salvador - ESA</t>
  </si>
  <si>
    <t>Equatorial Guinea - GEQ</t>
  </si>
  <si>
    <t>Eritrea - ERI</t>
  </si>
  <si>
    <t>Estonia - EST</t>
  </si>
  <si>
    <t>Eswatini - SWZ</t>
  </si>
  <si>
    <t>Ethiopia - ETH</t>
  </si>
  <si>
    <t>Faroe Islands - FAR</t>
  </si>
  <si>
    <t>Federated States of Micronesia - FSM</t>
  </si>
  <si>
    <t>Fiji - FIJ</t>
  </si>
  <si>
    <t>Finland - FIN</t>
  </si>
  <si>
    <t>France - FRA</t>
  </si>
  <si>
    <t>Gabon - GAB</t>
  </si>
  <si>
    <t>Gambia - GAM</t>
  </si>
  <si>
    <t>Georgia - GEO</t>
  </si>
  <si>
    <t>Germany - GER</t>
  </si>
  <si>
    <t>Ghana - GHA</t>
  </si>
  <si>
    <t>Gibraltar - GIB</t>
  </si>
  <si>
    <t>Great Britain - GBR</t>
  </si>
  <si>
    <t>Greece - GRE</t>
  </si>
  <si>
    <t>Grenada - GRN</t>
  </si>
  <si>
    <t>Guam - GUM</t>
  </si>
  <si>
    <t>Guatemala - GUA</t>
  </si>
  <si>
    <t>Guinea - GUI</t>
  </si>
  <si>
    <t>Guinea-Bissau - GBS</t>
  </si>
  <si>
    <t>Guyana - GUY</t>
  </si>
  <si>
    <t>Haiti - HAI</t>
  </si>
  <si>
    <t>Honduras - HON</t>
  </si>
  <si>
    <t>Hong Kong - HKG</t>
  </si>
  <si>
    <t>Hungary - HUN</t>
  </si>
  <si>
    <t>Iceland - ISL</t>
  </si>
  <si>
    <t>India - IND</t>
  </si>
  <si>
    <t>Indonesia - INA</t>
  </si>
  <si>
    <t>Iraq - IRQ</t>
  </si>
  <si>
    <t>Ireland - IRL</t>
  </si>
  <si>
    <t>Islamic Republic of Iran - IRI</t>
  </si>
  <si>
    <t>Israel - ISR</t>
  </si>
  <si>
    <t>Italy - ITA</t>
  </si>
  <si>
    <t>Jamaica - JAM</t>
  </si>
  <si>
    <t>Japan - JPN</t>
  </si>
  <si>
    <t>Jordan - JOR</t>
  </si>
  <si>
    <t>Kazakhstan - KAZ</t>
  </si>
  <si>
    <t>Kenya - KEN</t>
  </si>
  <si>
    <t>Korea - KOR</t>
  </si>
  <si>
    <t>Kosovo - KOS</t>
  </si>
  <si>
    <t>Kuwait - KUW</t>
  </si>
  <si>
    <t>Kyrgyzstan - KGZ</t>
  </si>
  <si>
    <t>Lao People's Democratic Republic - LAO</t>
  </si>
  <si>
    <t>Latvia - LAT</t>
  </si>
  <si>
    <t>Lebanon - LBN</t>
  </si>
  <si>
    <t>Lesotho - LES</t>
  </si>
  <si>
    <t>Liberia - LBR</t>
  </si>
  <si>
    <t>Libya - LBA</t>
  </si>
  <si>
    <t>Liechtenstein - LIE</t>
  </si>
  <si>
    <t>Lithuania - LTU</t>
  </si>
  <si>
    <t>Luxembourg - LUX</t>
  </si>
  <si>
    <t>Macau - MAC</t>
  </si>
  <si>
    <t>Madagascar - MAD</t>
  </si>
  <si>
    <t>Malawi - MAW</t>
  </si>
  <si>
    <t>Malaysia - MAS</t>
  </si>
  <si>
    <t>Maldives - MDV</t>
  </si>
  <si>
    <t>Mali - MLI</t>
  </si>
  <si>
    <t>Malta - MLT</t>
  </si>
  <si>
    <t>Marshall Islands - MHL</t>
  </si>
  <si>
    <t>Mauritania - MTN</t>
  </si>
  <si>
    <t>Mauritius - MRI</t>
  </si>
  <si>
    <t>Mexico - MEX</t>
  </si>
  <si>
    <t>Moldova - MDA</t>
  </si>
  <si>
    <t>Monaco - MON</t>
  </si>
  <si>
    <t>Mongolia - MGL</t>
  </si>
  <si>
    <t>Montenegro - MNE</t>
  </si>
  <si>
    <t>Morocco - MAR</t>
  </si>
  <si>
    <t>Mozambique - MOZ</t>
  </si>
  <si>
    <t>Myanmar - MYA</t>
  </si>
  <si>
    <t>Namibia - NAM</t>
  </si>
  <si>
    <t>Nepal - NEP</t>
  </si>
  <si>
    <t>Netherlands - NED</t>
  </si>
  <si>
    <t>New Zealand - NZL</t>
  </si>
  <si>
    <t>Nicaragua - NCA</t>
  </si>
  <si>
    <t>Niger - NIG</t>
  </si>
  <si>
    <t>Nigeria - NGR</t>
  </si>
  <si>
    <t>North Macedonia - MKD</t>
  </si>
  <si>
    <t>Northern Mariana Islands - NMA</t>
  </si>
  <si>
    <t>Norway - NOR</t>
  </si>
  <si>
    <t>Oman - OMA</t>
  </si>
  <si>
    <t>Pakistan - PAK</t>
  </si>
  <si>
    <t>Palau - PLW</t>
  </si>
  <si>
    <t>Palestine - PLE</t>
  </si>
  <si>
    <t>Panama - PAN</t>
  </si>
  <si>
    <t>Papua New Guinea - PNG</t>
  </si>
  <si>
    <t>Paraguay - PAR</t>
  </si>
  <si>
    <t>Peru - PER</t>
  </si>
  <si>
    <t>Philippines - PHI</t>
  </si>
  <si>
    <t>Poland - POL</t>
  </si>
  <si>
    <t>Portugal - POR</t>
  </si>
  <si>
    <t>Puerto Rico - PUR</t>
  </si>
  <si>
    <t>Qatar - QAT</t>
  </si>
  <si>
    <t>Romania - ROU</t>
  </si>
  <si>
    <t>Russia - RUS</t>
  </si>
  <si>
    <t>Rwanda - RWA</t>
  </si>
  <si>
    <t>Saint Lucia - LCA</t>
  </si>
  <si>
    <t>Samoa - SAM</t>
  </si>
  <si>
    <t>San Marino - SMR</t>
  </si>
  <si>
    <t>Saudi Arabia - KSA</t>
  </si>
  <si>
    <t>Senegal - SEN</t>
  </si>
  <si>
    <t>Serbia - SRB</t>
  </si>
  <si>
    <t>Seychelles - SEY</t>
  </si>
  <si>
    <t>Sierra Leone - SLE</t>
  </si>
  <si>
    <t>Singapore - SGP</t>
  </si>
  <si>
    <t>Sint Maarten - MAA</t>
  </si>
  <si>
    <t>Slovakia - SVK</t>
  </si>
  <si>
    <t>Slovenia - SLO</t>
  </si>
  <si>
    <t>Solomon Islands - SOL</t>
  </si>
  <si>
    <t>Somalia - SOM</t>
  </si>
  <si>
    <t>South Africa - RSA</t>
  </si>
  <si>
    <t>Spain - ESP</t>
  </si>
  <si>
    <t>Sri Lanka - SRI</t>
  </si>
  <si>
    <t>St. Kitts and Nevis - SKN</t>
  </si>
  <si>
    <t>St. Vincent and Grenadines - VIN</t>
  </si>
  <si>
    <t>Sudan - SUD</t>
  </si>
  <si>
    <t>Suriname - SUR</t>
  </si>
  <si>
    <t>Sweden - SWE</t>
  </si>
  <si>
    <t>Switzerland - SUI</t>
  </si>
  <si>
    <t>Syrian Arab Republic - SYR</t>
  </si>
  <si>
    <t>Tajikistan - TJK</t>
  </si>
  <si>
    <t>Tanzania - TAN</t>
  </si>
  <si>
    <t>Thailand - THA</t>
  </si>
  <si>
    <t>Togo - TOG</t>
  </si>
  <si>
    <t>Tonga - TGA</t>
  </si>
  <si>
    <t>Trinidad and Tobago - TTO</t>
  </si>
  <si>
    <t>Tunisia - TUN</t>
  </si>
  <si>
    <t>Turkmenistan - TKM</t>
  </si>
  <si>
    <t>Turks and Caicos Islands - TCN</t>
  </si>
  <si>
    <t>Uganda - UGA</t>
  </si>
  <si>
    <t>Ukraine - UKR</t>
  </si>
  <si>
    <t>United Arab Emirates - UAE</t>
  </si>
  <si>
    <t>United States of America - USA</t>
  </si>
  <si>
    <t>Uruguay - URU</t>
  </si>
  <si>
    <t>Uzbekistan - UZB</t>
  </si>
  <si>
    <t>Vanuatu - VAN</t>
  </si>
  <si>
    <t>Venezuela - VEN</t>
  </si>
  <si>
    <t>Vietnam - VIE</t>
  </si>
  <si>
    <t>Virgin Islands, US - ISV</t>
  </si>
  <si>
    <t>Yemen - YEM</t>
  </si>
  <si>
    <t>Zambia - ZAM</t>
  </si>
  <si>
    <t>Zimbabwe - ZIM</t>
  </si>
  <si>
    <t>Democratic Republic of Timor</t>
  </si>
  <si>
    <t>Guinea</t>
  </si>
  <si>
    <t>GBS</t>
  </si>
  <si>
    <t>AFG</t>
  </si>
  <si>
    <t>ALB</t>
  </si>
  <si>
    <t>ALG</t>
  </si>
  <si>
    <t>ASA</t>
  </si>
  <si>
    <t>AND</t>
  </si>
  <si>
    <t>ANG</t>
  </si>
  <si>
    <t>AGU</t>
  </si>
  <si>
    <t>ANT</t>
  </si>
  <si>
    <t>ARG</t>
  </si>
  <si>
    <t>ARM</t>
  </si>
  <si>
    <t>ARU</t>
  </si>
  <si>
    <t>AUS</t>
  </si>
  <si>
    <t>AUT</t>
  </si>
  <si>
    <t>AZE</t>
  </si>
  <si>
    <t>BAH</t>
  </si>
  <si>
    <t>BRN</t>
  </si>
  <si>
    <t>BAN</t>
  </si>
  <si>
    <t>BAR</t>
  </si>
  <si>
    <t>BLR</t>
  </si>
  <si>
    <t>BEL</t>
  </si>
  <si>
    <t>BIZ</t>
  </si>
  <si>
    <t>BEN</t>
  </si>
  <si>
    <t>BER</t>
  </si>
  <si>
    <t>BHU</t>
  </si>
  <si>
    <t>BOL</t>
  </si>
  <si>
    <t>BIH</t>
  </si>
  <si>
    <t>BOT</t>
  </si>
  <si>
    <t>BRA</t>
  </si>
  <si>
    <t>IVB</t>
  </si>
  <si>
    <t>BRU</t>
  </si>
  <si>
    <t>BUL</t>
  </si>
  <si>
    <t>BUR</t>
  </si>
  <si>
    <t>BDI</t>
  </si>
  <si>
    <t>CAM</t>
  </si>
  <si>
    <t>CMR</t>
  </si>
  <si>
    <t>CAN</t>
  </si>
  <si>
    <t>CPV</t>
  </si>
  <si>
    <t>CAY</t>
  </si>
  <si>
    <t>CAF</t>
  </si>
  <si>
    <t>CHA</t>
  </si>
  <si>
    <t>CHI</t>
  </si>
  <si>
    <t>CHN</t>
  </si>
  <si>
    <t>TPE</t>
  </si>
  <si>
    <t>COL</t>
  </si>
  <si>
    <t>COM</t>
  </si>
  <si>
    <t>CGO</t>
  </si>
  <si>
    <t>COK</t>
  </si>
  <si>
    <t>CRC</t>
  </si>
  <si>
    <t>CIV</t>
  </si>
  <si>
    <t>CRO</t>
  </si>
  <si>
    <t>CUB</t>
  </si>
  <si>
    <t>CUR</t>
  </si>
  <si>
    <t>CYP</t>
  </si>
  <si>
    <t>CZE</t>
  </si>
  <si>
    <t>PRK</t>
  </si>
  <si>
    <t>COD</t>
  </si>
  <si>
    <t>TLS</t>
  </si>
  <si>
    <t>DEN</t>
  </si>
  <si>
    <t>DJI</t>
  </si>
  <si>
    <t>DMA</t>
  </si>
  <si>
    <t>DOM</t>
  </si>
  <si>
    <t>ECU</t>
  </si>
  <si>
    <t>EGY</t>
  </si>
  <si>
    <t>ESA</t>
  </si>
  <si>
    <t>GEQ</t>
  </si>
  <si>
    <t>ERI</t>
  </si>
  <si>
    <t>EST</t>
  </si>
  <si>
    <t>SWZ</t>
  </si>
  <si>
    <t>ETH</t>
  </si>
  <si>
    <t>FAR</t>
  </si>
  <si>
    <t>FSM</t>
  </si>
  <si>
    <t>FIJ</t>
  </si>
  <si>
    <t>FIN</t>
  </si>
  <si>
    <t>FRA</t>
  </si>
  <si>
    <t>GAB</t>
  </si>
  <si>
    <t>GAM</t>
  </si>
  <si>
    <t>GEO</t>
  </si>
  <si>
    <t>GER</t>
  </si>
  <si>
    <t>GHA</t>
  </si>
  <si>
    <t>GIB</t>
  </si>
  <si>
    <t>GBR</t>
  </si>
  <si>
    <t>GRE</t>
  </si>
  <si>
    <t>GRN</t>
  </si>
  <si>
    <t>GUM</t>
  </si>
  <si>
    <t>GUA</t>
  </si>
  <si>
    <t>GUI</t>
  </si>
  <si>
    <t>GUY</t>
  </si>
  <si>
    <t>HAI</t>
  </si>
  <si>
    <t>HON</t>
  </si>
  <si>
    <t>HKG</t>
  </si>
  <si>
    <t>HUN</t>
  </si>
  <si>
    <t>ISL</t>
  </si>
  <si>
    <t>IND</t>
  </si>
  <si>
    <t>INA</t>
  </si>
  <si>
    <t>IRQ</t>
  </si>
  <si>
    <t>IRL</t>
  </si>
  <si>
    <t>IRI</t>
  </si>
  <si>
    <t>ISR</t>
  </si>
  <si>
    <t>ITA</t>
  </si>
  <si>
    <t>JAM</t>
  </si>
  <si>
    <t>JPN</t>
  </si>
  <si>
    <t>JOR</t>
  </si>
  <si>
    <t>KAZ</t>
  </si>
  <si>
    <t>KEN</t>
  </si>
  <si>
    <t>KOR</t>
  </si>
  <si>
    <t>KOS</t>
  </si>
  <si>
    <t>KUW</t>
  </si>
  <si>
    <t>KGZ</t>
  </si>
  <si>
    <t>LAO</t>
  </si>
  <si>
    <t>LAT</t>
  </si>
  <si>
    <t>LBN</t>
  </si>
  <si>
    <t>LES</t>
  </si>
  <si>
    <t>LBR</t>
  </si>
  <si>
    <t>LBA</t>
  </si>
  <si>
    <t>LIE</t>
  </si>
  <si>
    <t>LTU</t>
  </si>
  <si>
    <t>LUX</t>
  </si>
  <si>
    <t>MAC</t>
  </si>
  <si>
    <t>MAD</t>
  </si>
  <si>
    <t>MAW</t>
  </si>
  <si>
    <t>MAS</t>
  </si>
  <si>
    <t>MDV</t>
  </si>
  <si>
    <t>MLI</t>
  </si>
  <si>
    <t>MLT</t>
  </si>
  <si>
    <t>MHL</t>
  </si>
  <si>
    <t>MTN</t>
  </si>
  <si>
    <t>MRI</t>
  </si>
  <si>
    <t>MEX</t>
  </si>
  <si>
    <t>MDA</t>
  </si>
  <si>
    <t>MON</t>
  </si>
  <si>
    <t>MGL</t>
  </si>
  <si>
    <t>MNE</t>
  </si>
  <si>
    <t>MAR</t>
  </si>
  <si>
    <t>MOZ</t>
  </si>
  <si>
    <t>MYA</t>
  </si>
  <si>
    <t>NAM</t>
  </si>
  <si>
    <t>NEP</t>
  </si>
  <si>
    <t>NED</t>
  </si>
  <si>
    <t>NZL</t>
  </si>
  <si>
    <t>NCA</t>
  </si>
  <si>
    <t>NIG</t>
  </si>
  <si>
    <t>NGR</t>
  </si>
  <si>
    <t>MKD</t>
  </si>
  <si>
    <t>NMA</t>
  </si>
  <si>
    <t>NOR</t>
  </si>
  <si>
    <t>OMA</t>
  </si>
  <si>
    <t>PAK</t>
  </si>
  <si>
    <t>PLW</t>
  </si>
  <si>
    <t>PLE</t>
  </si>
  <si>
    <t>PAN</t>
  </si>
  <si>
    <t>PNG</t>
  </si>
  <si>
    <t>PAR</t>
  </si>
  <si>
    <t>PER</t>
  </si>
  <si>
    <t>PHI</t>
  </si>
  <si>
    <t>POL</t>
  </si>
  <si>
    <t>POR</t>
  </si>
  <si>
    <t>PUR</t>
  </si>
  <si>
    <t>QAT</t>
  </si>
  <si>
    <t>ROU</t>
  </si>
  <si>
    <t>RUS</t>
  </si>
  <si>
    <t>RWA</t>
  </si>
  <si>
    <t>LCA</t>
  </si>
  <si>
    <t>SAM</t>
  </si>
  <si>
    <t>SMR</t>
  </si>
  <si>
    <t>KSA</t>
  </si>
  <si>
    <t>SEN</t>
  </si>
  <si>
    <t>SRB</t>
  </si>
  <si>
    <t>SEY</t>
  </si>
  <si>
    <t>SLE</t>
  </si>
  <si>
    <t>SGP</t>
  </si>
  <si>
    <t>MAA</t>
  </si>
  <si>
    <t>SVK</t>
  </si>
  <si>
    <t>SLO</t>
  </si>
  <si>
    <t>SOL</t>
  </si>
  <si>
    <t>SOM</t>
  </si>
  <si>
    <t>RSA</t>
  </si>
  <si>
    <t>ESP</t>
  </si>
  <si>
    <t>SRI</t>
  </si>
  <si>
    <t>SKN</t>
  </si>
  <si>
    <t>VIN</t>
  </si>
  <si>
    <t>SUD</t>
  </si>
  <si>
    <t>SUR</t>
  </si>
  <si>
    <t>SWE</t>
  </si>
  <si>
    <t>SUI</t>
  </si>
  <si>
    <t>SYR</t>
  </si>
  <si>
    <t>TJK</t>
  </si>
  <si>
    <t>TAN</t>
  </si>
  <si>
    <t>THA</t>
  </si>
  <si>
    <t>TOG</t>
  </si>
  <si>
    <t>TGA</t>
  </si>
  <si>
    <t>TTO</t>
  </si>
  <si>
    <t>TUN</t>
  </si>
  <si>
    <t>TUR</t>
  </si>
  <si>
    <t>TKM</t>
  </si>
  <si>
    <t>TCN</t>
  </si>
  <si>
    <t>UGA</t>
  </si>
  <si>
    <t>UKR</t>
  </si>
  <si>
    <t>UAE</t>
  </si>
  <si>
    <t>USA</t>
  </si>
  <si>
    <t>URU</t>
  </si>
  <si>
    <t>UZB</t>
  </si>
  <si>
    <t>VAN</t>
  </si>
  <si>
    <t>VEN</t>
  </si>
  <si>
    <t>VIE</t>
  </si>
  <si>
    <t>ISV</t>
  </si>
  <si>
    <t>YEM</t>
  </si>
  <si>
    <t>ZAM</t>
  </si>
  <si>
    <t>ZIM</t>
  </si>
  <si>
    <t>Afghanistan</t>
  </si>
  <si>
    <t>Albania</t>
  </si>
  <si>
    <t>Algeria</t>
  </si>
  <si>
    <t>Andorra</t>
  </si>
  <si>
    <t>Angola</t>
  </si>
  <si>
    <t>Anguilla</t>
  </si>
  <si>
    <t>Argentina</t>
  </si>
  <si>
    <t>Armenia</t>
  </si>
  <si>
    <t>Aruba</t>
  </si>
  <si>
    <t>Australia</t>
  </si>
  <si>
    <t>Austria</t>
  </si>
  <si>
    <t>Azerbaijan</t>
  </si>
  <si>
    <t>Bahamas</t>
  </si>
  <si>
    <t>Bahrain</t>
  </si>
  <si>
    <t>Bangladesh</t>
  </si>
  <si>
    <t>Barbados</t>
  </si>
  <si>
    <t>Belarus</t>
  </si>
  <si>
    <t>Belgium</t>
  </si>
  <si>
    <t>Belize</t>
  </si>
  <si>
    <t>Benin</t>
  </si>
  <si>
    <t>Bermuda</t>
  </si>
  <si>
    <t>Bhutan</t>
  </si>
  <si>
    <t>Bolivia</t>
  </si>
  <si>
    <t>Botswana</t>
  </si>
  <si>
    <t>Brazil</t>
  </si>
  <si>
    <t>Bulgaria</t>
  </si>
  <si>
    <t>Burundi</t>
  </si>
  <si>
    <t>Cambodia</t>
  </si>
  <si>
    <t>Cameroon</t>
  </si>
  <si>
    <t>Canada</t>
  </si>
  <si>
    <t>Chad</t>
  </si>
  <si>
    <t>Chile</t>
  </si>
  <si>
    <t>China</t>
  </si>
  <si>
    <t>Colombia</t>
  </si>
  <si>
    <t>Comoros</t>
  </si>
  <si>
    <t>Congo</t>
  </si>
  <si>
    <t>Croatia</t>
  </si>
  <si>
    <t>Cuba</t>
  </si>
  <si>
    <t>Curacao</t>
  </si>
  <si>
    <t>Cyprus</t>
  </si>
  <si>
    <t>Denmark</t>
  </si>
  <si>
    <t>Djibouti</t>
  </si>
  <si>
    <t>Dominica</t>
  </si>
  <si>
    <t>Ecuador</t>
  </si>
  <si>
    <t>Egypt</t>
  </si>
  <si>
    <t>Eritrea</t>
  </si>
  <si>
    <t>Estonia</t>
  </si>
  <si>
    <t>Eswatini</t>
  </si>
  <si>
    <t>Ethiopia</t>
  </si>
  <si>
    <t>Fiji</t>
  </si>
  <si>
    <t>Finland</t>
  </si>
  <si>
    <t>France</t>
  </si>
  <si>
    <t>Gabon</t>
  </si>
  <si>
    <t>Gambia</t>
  </si>
  <si>
    <t>Georgia</t>
  </si>
  <si>
    <t>Germany</t>
  </si>
  <si>
    <t>Ghana</t>
  </si>
  <si>
    <t>Gibraltar</t>
  </si>
  <si>
    <t>Greece</t>
  </si>
  <si>
    <t>Grenada</t>
  </si>
  <si>
    <t>Guam</t>
  </si>
  <si>
    <t>Guatemala</t>
  </si>
  <si>
    <t>Guyana</t>
  </si>
  <si>
    <t>Haiti</t>
  </si>
  <si>
    <t>Honduras</t>
  </si>
  <si>
    <t>Hungary</t>
  </si>
  <si>
    <t>Iceland</t>
  </si>
  <si>
    <t>India</t>
  </si>
  <si>
    <t>Indonesia</t>
  </si>
  <si>
    <t>Iraq</t>
  </si>
  <si>
    <t>Ireland</t>
  </si>
  <si>
    <t>Israel</t>
  </si>
  <si>
    <t>Italy</t>
  </si>
  <si>
    <t>Jamaica</t>
  </si>
  <si>
    <t>Japan</t>
  </si>
  <si>
    <t>Jordan</t>
  </si>
  <si>
    <t>Kazakhstan</t>
  </si>
  <si>
    <t>Kenya</t>
  </si>
  <si>
    <t>Korea</t>
  </si>
  <si>
    <t>Kosovo</t>
  </si>
  <si>
    <t>Kuwait</t>
  </si>
  <si>
    <t>Kyrgyzstan</t>
  </si>
  <si>
    <t>Latvia</t>
  </si>
  <si>
    <t>Lebanon</t>
  </si>
  <si>
    <t>Lesotho</t>
  </si>
  <si>
    <t>Liberia</t>
  </si>
  <si>
    <t>Libya</t>
  </si>
  <si>
    <t>Liechtenstein</t>
  </si>
  <si>
    <t>Lithuania</t>
  </si>
  <si>
    <t>Luxembourg</t>
  </si>
  <si>
    <t>Macau</t>
  </si>
  <si>
    <t>Madagascar</t>
  </si>
  <si>
    <t>Malawi</t>
  </si>
  <si>
    <t>Malaysia</t>
  </si>
  <si>
    <t>Maldives</t>
  </si>
  <si>
    <t>Mali</t>
  </si>
  <si>
    <t>Malta</t>
  </si>
  <si>
    <t>Mauritania</t>
  </si>
  <si>
    <t>Mauritius</t>
  </si>
  <si>
    <t>Mexico</t>
  </si>
  <si>
    <t>Moldova</t>
  </si>
  <si>
    <t>Monaco</t>
  </si>
  <si>
    <t>Mongolia</t>
  </si>
  <si>
    <t>Montenegro</t>
  </si>
  <si>
    <t>Morocco</t>
  </si>
  <si>
    <t>Mozambique</t>
  </si>
  <si>
    <t>Myanmar</t>
  </si>
  <si>
    <t>Namibia</t>
  </si>
  <si>
    <t>Nepal</t>
  </si>
  <si>
    <t>Netherlands</t>
  </si>
  <si>
    <t>Nicaragua</t>
  </si>
  <si>
    <t>Niger</t>
  </si>
  <si>
    <t>Nigeria</t>
  </si>
  <si>
    <t>Norway</t>
  </si>
  <si>
    <t>Oman</t>
  </si>
  <si>
    <t>Pakistan</t>
  </si>
  <si>
    <t>Palau</t>
  </si>
  <si>
    <t>Palestine</t>
  </si>
  <si>
    <t>Panama</t>
  </si>
  <si>
    <t>Paraguay</t>
  </si>
  <si>
    <t>Peru</t>
  </si>
  <si>
    <t>Philippines</t>
  </si>
  <si>
    <t>Poland</t>
  </si>
  <si>
    <t>Portugal</t>
  </si>
  <si>
    <t>Qatar</t>
  </si>
  <si>
    <t>Romania</t>
  </si>
  <si>
    <t>Russia</t>
  </si>
  <si>
    <t>Rwanda</t>
  </si>
  <si>
    <t>Samoa</t>
  </si>
  <si>
    <t>Senegal</t>
  </si>
  <si>
    <t>Serbia</t>
  </si>
  <si>
    <t>Seychelles</t>
  </si>
  <si>
    <t>Singapore</t>
  </si>
  <si>
    <t>Slovakia</t>
  </si>
  <si>
    <t>Slovenia</t>
  </si>
  <si>
    <t>Somalia</t>
  </si>
  <si>
    <t>Spain</t>
  </si>
  <si>
    <t>Sudan</t>
  </si>
  <si>
    <t>Suriname</t>
  </si>
  <si>
    <t>Switzerland</t>
  </si>
  <si>
    <t>Tajikistan</t>
  </si>
  <si>
    <t>Tanzania</t>
  </si>
  <si>
    <t>Thailand</t>
  </si>
  <si>
    <t>Togo</t>
  </si>
  <si>
    <t>Tonga</t>
  </si>
  <si>
    <t>Tunisia</t>
  </si>
  <si>
    <t>Turkmenistan</t>
  </si>
  <si>
    <t>Uganda</t>
  </si>
  <si>
    <t>Ukraine</t>
  </si>
  <si>
    <t>Uruguay</t>
  </si>
  <si>
    <t>Uzbekistan</t>
  </si>
  <si>
    <t>Vanuatu</t>
  </si>
  <si>
    <t>Venezuela</t>
  </si>
  <si>
    <t>Vietnam</t>
  </si>
  <si>
    <t>Yemen</t>
  </si>
  <si>
    <t>Zambia</t>
  </si>
  <si>
    <t>Zimbabwe</t>
  </si>
  <si>
    <t>American Samoa</t>
  </si>
  <si>
    <t>Antigua and Barbuda</t>
  </si>
  <si>
    <t>Bosnia and Herzegovina</t>
  </si>
  <si>
    <t>British Virgin Islands</t>
  </si>
  <si>
    <t>Burkina Faso</t>
  </si>
  <si>
    <t>Cape Verde</t>
  </si>
  <si>
    <t>Cayman Islands</t>
  </si>
  <si>
    <t>Central African Republic</t>
  </si>
  <si>
    <t>Chinese Taipei</t>
  </si>
  <si>
    <t>Cook Islands</t>
  </si>
  <si>
    <t>Costa Rica</t>
  </si>
  <si>
    <t>Côte d'Ivoire</t>
  </si>
  <si>
    <t>Czech Republic</t>
  </si>
  <si>
    <t>Democratic People's Republic of Korea</t>
  </si>
  <si>
    <t>Democratic Republic of the Congo</t>
  </si>
  <si>
    <t>Dominican Republic</t>
  </si>
  <si>
    <t>El Salvador</t>
  </si>
  <si>
    <t>Equatorial Guinea</t>
  </si>
  <si>
    <t>Federated States of Micronesia</t>
  </si>
  <si>
    <t>Faroe Islands</t>
  </si>
  <si>
    <t>Great Britain</t>
  </si>
  <si>
    <t>Guinea-Bissau</t>
  </si>
  <si>
    <t>Hong Kong</t>
  </si>
  <si>
    <t>Islamic Republic of Iran</t>
  </si>
  <si>
    <t>Lao People's Democratic Republic</t>
  </si>
  <si>
    <t>Marshall Islands</t>
  </si>
  <si>
    <t>North Macedonia</t>
  </si>
  <si>
    <t>Northern Mariana Islands</t>
  </si>
  <si>
    <t>Papua New Guinea</t>
  </si>
  <si>
    <t>San Marino</t>
  </si>
  <si>
    <t>Saudi Arabia</t>
  </si>
  <si>
    <t>Sierra Leone</t>
  </si>
  <si>
    <t>Sint Maarten</t>
  </si>
  <si>
    <t>Solomon Islands</t>
  </si>
  <si>
    <t>South Africa</t>
  </si>
  <si>
    <t>Sri Lanka</t>
  </si>
  <si>
    <t>St. Kitts and Nevis</t>
  </si>
  <si>
    <t>St. Vincent and Grenadines</t>
  </si>
  <si>
    <t>Syrian Arab Republic</t>
  </si>
  <si>
    <t>Trinidad and Tobago</t>
  </si>
  <si>
    <t>Turks and Caicos Islands</t>
  </si>
  <si>
    <t>United Arab Emirates</t>
  </si>
  <si>
    <t>United States of America</t>
  </si>
  <si>
    <t>Brunei Darussalam</t>
  </si>
  <si>
    <t>New Zealand</t>
  </si>
  <si>
    <t>Puerto Rico</t>
  </si>
  <si>
    <t>Saint Lucia</t>
  </si>
  <si>
    <t>Virgin Islands, US</t>
  </si>
  <si>
    <t/>
  </si>
  <si>
    <t>&gt;   Choose if to use "Federation" or "Club"</t>
  </si>
  <si>
    <t>&gt;   Write the name of the competition</t>
  </si>
  <si>
    <t>&gt;   Choose Event for this CC</t>
  </si>
  <si>
    <t>&gt;   Choose Age group for this CC</t>
  </si>
  <si>
    <t>&gt;  Write the name of the participant(s)</t>
  </si>
  <si>
    <t>And also how many elements that has been used.</t>
  </si>
  <si>
    <t>&gt;   Write the end time for the 1st part of the program (Minutes + Secoinds).</t>
  </si>
  <si>
    <t>&gt;   Declare bonus, if any.</t>
  </si>
  <si>
    <t>Time for chosen event will also be visable.</t>
  </si>
  <si>
    <t>&gt;   Continue the same way untill full program is declared.</t>
  </si>
  <si>
    <t>&gt;   Write "X" in the column "Last(X)" on the row for the last part of the program.</t>
  </si>
  <si>
    <t>&gt;   Double check that everything is correct.</t>
  </si>
  <si>
    <t>&gt;   Go to the "Print" sheet</t>
  </si>
  <si>
    <t>&gt;   Go to the "Coach Card" sheet</t>
  </si>
  <si>
    <t>&gt;   Print out the Coach Card</t>
  </si>
  <si>
    <t>&gt;   Paste the copied cells into the difficulty-sheet in the scoring program.</t>
  </si>
  <si>
    <t>Instructions</t>
  </si>
  <si>
    <t>TRE check</t>
  </si>
  <si>
    <t>2ig</t>
  </si>
  <si>
    <t xml:space="preserve">3pA2 </t>
  </si>
  <si>
    <t xml:space="preserve">AA </t>
  </si>
  <si>
    <t xml:space="preserve">SiF/ </t>
  </si>
  <si>
    <t>&gt;   Change the logo as you please. Both in the "Coach Card"- and "Print"-sheet.</t>
  </si>
  <si>
    <t xml:space="preserve">‘&gt;Stsh </t>
  </si>
  <si>
    <t>Js1B</t>
  </si>
  <si>
    <t>Jpd</t>
  </si>
  <si>
    <t>JsF1B</t>
  </si>
  <si>
    <t>W!r1</t>
  </si>
  <si>
    <t>O</t>
  </si>
  <si>
    <t>SF+FB</t>
  </si>
  <si>
    <t>Px1P</t>
  </si>
  <si>
    <t>FK+&gt;FK1</t>
  </si>
  <si>
    <t>SiF1</t>
  </si>
  <si>
    <t>y16</t>
  </si>
  <si>
    <t>PK+KP</t>
  </si>
  <si>
    <t>St&gt;StH</t>
  </si>
  <si>
    <t>StH↷L</t>
  </si>
  <si>
    <t>‘~StH</t>
  </si>
  <si>
    <t>‘&gt;PP&gt;</t>
  </si>
  <si>
    <t>y17</t>
  </si>
  <si>
    <t>hhs1</t>
  </si>
  <si>
    <t>2bbSup</t>
  </si>
  <si>
    <t>j26</t>
  </si>
  <si>
    <t>j27</t>
  </si>
  <si>
    <t>StH~StH</t>
  </si>
  <si>
    <t>Ln</t>
  </si>
  <si>
    <t>2Ln</t>
  </si>
  <si>
    <t>Ln!</t>
  </si>
  <si>
    <t>2Ln!</t>
  </si>
  <si>
    <t>dt1</t>
  </si>
  <si>
    <t>s1,5t0,5</t>
  </si>
  <si>
    <t>s1,5t1</t>
  </si>
  <si>
    <t>2SupH(2)</t>
  </si>
  <si>
    <t>StH’’’’</t>
  </si>
  <si>
    <t>ig</t>
  </si>
  <si>
    <t>r1,5*</t>
  </si>
  <si>
    <t>R0,5*</t>
  </si>
  <si>
    <t>L!»</t>
  </si>
  <si>
    <t>Lf»</t>
  </si>
  <si>
    <t>L!f»</t>
  </si>
  <si>
    <t>L!r1»</t>
  </si>
  <si>
    <t>W!»</t>
  </si>
  <si>
    <t>W!d</t>
  </si>
  <si>
    <t>Women Solo Free / 12 and under</t>
  </si>
  <si>
    <t>Women Duet Free / 12 and under</t>
  </si>
  <si>
    <t>Open Team Free / 12 and under</t>
  </si>
  <si>
    <t>Open Free Combination / 12 and under</t>
  </si>
  <si>
    <t>Women Solo Technical / Seniors 15 -&gt;</t>
  </si>
  <si>
    <t>Women Solo Free / Seniors 15 -&gt;</t>
  </si>
  <si>
    <t>Women Duet Technical / Seniors 15 -&gt;</t>
  </si>
  <si>
    <t>Women Duet Free / Seniors 15 -&gt;</t>
  </si>
  <si>
    <t>Open Team Technical / Seniors 15 -&gt;</t>
  </si>
  <si>
    <t>Open Team Free / Seniors 15 -&gt;</t>
  </si>
  <si>
    <t>Open Team Acrobatic / Seniors 15 -&gt;</t>
  </si>
  <si>
    <t>Women Solo Technical</t>
  </si>
  <si>
    <t>Women Solo Free</t>
  </si>
  <si>
    <t>Women Duet Technical</t>
  </si>
  <si>
    <t>Women Duet Free</t>
  </si>
  <si>
    <t>Open Team Technical</t>
  </si>
  <si>
    <t>Open Team Free</t>
  </si>
  <si>
    <t>Open Free Combination</t>
  </si>
  <si>
    <t>Open Team Acrobatic</t>
  </si>
  <si>
    <t>Youth 13-15 (F) / 13-16 (M)</t>
  </si>
  <si>
    <t>Junior 15-19 (F) / 15-20 (M)</t>
  </si>
  <si>
    <t>Masters 25 -&gt;</t>
  </si>
  <si>
    <t>Women Solo Free / Youth 13-15 (F) / 13-16 (M)</t>
  </si>
  <si>
    <t>Male Solo Free / Youth 13-15 (F) / 13-16 (M)</t>
  </si>
  <si>
    <t>Women Duet Free / Youth 13-15 (F) / 13-16 (M)</t>
  </si>
  <si>
    <t>Mixed Duet Free / Youth 13-15 (F) / 13-16 (M)</t>
  </si>
  <si>
    <t>Open Team Free / Youth 13-15 (F) / 13-16 (M)</t>
  </si>
  <si>
    <t>Open Free Combination / Youth 13-15 (F) / 13-16 (M)</t>
  </si>
  <si>
    <t>Women Solo Technical / Junior 15-19 (F) / 15-20 (M)</t>
  </si>
  <si>
    <t>Women Solo Free / Junior 15-19 (F) / 15-20 (M)</t>
  </si>
  <si>
    <t>Male Solo Technical / Junior 15-19 (F) / 15-20 (M)</t>
  </si>
  <si>
    <t>Male Solo Free / Junior 15-19 (F) / 15-20 (M)</t>
  </si>
  <si>
    <t>Women Duet Technical / Junior 15-19 (F) / 15-20 (M)</t>
  </si>
  <si>
    <t>Women Duet Free / Junior 15-19 (F) / 15-20 (M)</t>
  </si>
  <si>
    <t>Mixed Duet Technical / Junior 15-19 (F) / 15-20 (M)</t>
  </si>
  <si>
    <t>Mixed Duet Free / Junior 15-19 (F) / 15-20 (M)</t>
  </si>
  <si>
    <t>Open Team Technical / Junior 15-19 (F) / 15-20 (M)</t>
  </si>
  <si>
    <t>Open Team Free / Junior 15-19 (F) / 15-20 (M)</t>
  </si>
  <si>
    <t>Open Team Acrobatic / Junior 15-19 (F) / 15-20 (M)</t>
  </si>
  <si>
    <t>Version history:</t>
  </si>
  <si>
    <t>v 3.8</t>
  </si>
  <si>
    <t>Red marking now on difficulty code if manually written code is not in WAQ-list. Adaption to new rules from WAQ: New names on events. Specification on ages (m/f) on age groups. Wrong number of elements on Youth Mixed Duet.</t>
  </si>
  <si>
    <t>Open Free Combination / Junior 15-19 (F) / 15-20 (M)</t>
  </si>
  <si>
    <t>Open Free Combination / Seniors 15 -&gt;</t>
  </si>
  <si>
    <t>v 3.9</t>
  </si>
  <si>
    <t>v 4.0</t>
  </si>
  <si>
    <t>Session boxes did not get marking with X in the Print-sheet.</t>
  </si>
  <si>
    <t>Time start/end did mot work on the last rows in the generator above. Now also flashing red if chosen DD does not give you any value (=wrong DD code)</t>
  </si>
  <si>
    <t>v 4.1</t>
  </si>
  <si>
    <t>The green copy row didn't give 0.1 in BM on AcroPar from v 3.8. This was though corrected in the scoring program, but now also correct in CC.</t>
  </si>
  <si>
    <t>r5</t>
  </si>
  <si>
    <t>r9</t>
  </si>
  <si>
    <t>t3</t>
  </si>
  <si>
    <t>t4</t>
  </si>
  <si>
    <t>t7</t>
  </si>
  <si>
    <t>t9</t>
  </si>
  <si>
    <t>R34</t>
  </si>
  <si>
    <t>Start number:</t>
  </si>
  <si>
    <t>v 5.0</t>
  </si>
  <si>
    <t>Adaptation to new WAQ-rules regarding apnea and multiple R5-9 or T5-9. Also some design changes on the Print-sheet.</t>
  </si>
  <si>
    <t>v 5.1</t>
  </si>
  <si>
    <t>Change of colour to orange with multiple R5-9 or T5-9. Also changing other errors to red background and black text (more visable).</t>
  </si>
  <si>
    <t>v 5.2</t>
  </si>
  <si>
    <t>Bug fix - When expanding the DD input area with 2 columns, I made a mistake on the gree copy field. Now corrected.</t>
  </si>
  <si>
    <t>Coaches instructions</t>
  </si>
  <si>
    <t>v 5.3</t>
  </si>
  <si>
    <t>Possibility to disengage the apnea warning + the R5/T5+ warnings. Bug fix on some warning as well. Some missing acro codes are inserted (+ln)</t>
  </si>
  <si>
    <t>v 5.4</t>
  </si>
  <si>
    <t>Js1B+f</t>
  </si>
  <si>
    <t>Js1B+pf</t>
  </si>
  <si>
    <t>2Sup*</t>
  </si>
  <si>
    <t>ThrH&gt;Lh</t>
  </si>
  <si>
    <t>y18</t>
  </si>
  <si>
    <t>y19</t>
  </si>
  <si>
    <t>y20</t>
  </si>
  <si>
    <t>y21</t>
  </si>
  <si>
    <t>s1,5t1,5</t>
  </si>
  <si>
    <t>St&gt;sq</t>
  </si>
  <si>
    <t>fg</t>
  </si>
  <si>
    <t>j28</t>
  </si>
  <si>
    <t>St+ThrH(2)</t>
  </si>
  <si>
    <t>j29</t>
  </si>
  <si>
    <t>s1t3</t>
  </si>
  <si>
    <t>ThrH↷StH</t>
  </si>
  <si>
    <t>r2!</t>
  </si>
  <si>
    <t>1P1P</t>
  </si>
  <si>
    <t>r0,5!1</t>
  </si>
  <si>
    <t>St&gt;F1</t>
  </si>
  <si>
    <t>St&gt;F1+P1</t>
  </si>
  <si>
    <t>ps+</t>
  </si>
  <si>
    <t>psl+</t>
  </si>
  <si>
    <t>ki+</t>
  </si>
  <si>
    <t>tk+</t>
  </si>
  <si>
    <t>pa+</t>
  </si>
  <si>
    <t>nj+</t>
  </si>
  <si>
    <t>pk+</t>
  </si>
  <si>
    <t>mn+</t>
  </si>
  <si>
    <t>Ln+</t>
  </si>
  <si>
    <t>Ln!+</t>
  </si>
  <si>
    <t>sp+</t>
  </si>
  <si>
    <t>ar+</t>
  </si>
  <si>
    <t>kt+</t>
  </si>
  <si>
    <t>ma+</t>
  </si>
  <si>
    <t>ja+</t>
  </si>
  <si>
    <t>rg+</t>
  </si>
  <si>
    <t>ld+</t>
  </si>
  <si>
    <t>he+</t>
  </si>
  <si>
    <t>cr+</t>
  </si>
  <si>
    <t>kr+</t>
  </si>
  <si>
    <t>vs+</t>
  </si>
  <si>
    <t>sw+</t>
  </si>
  <si>
    <t>gl+</t>
  </si>
  <si>
    <t>ba+</t>
  </si>
  <si>
    <t>ea+</t>
  </si>
  <si>
    <t>sa+</t>
  </si>
  <si>
    <t>ne+</t>
  </si>
  <si>
    <t>ey+</t>
  </si>
  <si>
    <t>ln+</t>
  </si>
  <si>
    <t>do+</t>
  </si>
  <si>
    <t>si+</t>
  </si>
  <si>
    <t>mo+</t>
  </si>
  <si>
    <t>sh+</t>
  </si>
  <si>
    <t>spl+</t>
  </si>
  <si>
    <t>pe+</t>
  </si>
  <si>
    <t>cd+</t>
  </si>
  <si>
    <t>sc+</t>
  </si>
  <si>
    <t>pt+</t>
  </si>
  <si>
    <t>co+</t>
  </si>
  <si>
    <t>mr+</t>
  </si>
  <si>
    <t>sb+</t>
  </si>
  <si>
    <t>bi+</t>
  </si>
  <si>
    <t>fl+</t>
  </si>
  <si>
    <t>so+</t>
  </si>
  <si>
    <t>tu+</t>
  </si>
  <si>
    <t>se+</t>
  </si>
  <si>
    <t>pi+</t>
  </si>
  <si>
    <t>ro+</t>
  </si>
  <si>
    <t>lp+</t>
  </si>
  <si>
    <t>bo+</t>
  </si>
  <si>
    <t>bb+</t>
  </si>
  <si>
    <t>ig+</t>
  </si>
  <si>
    <t>kn+</t>
  </si>
  <si>
    <t>wi+</t>
  </si>
  <si>
    <t>be+</t>
  </si>
  <si>
    <t>to+</t>
  </si>
  <si>
    <t>ow+</t>
  </si>
  <si>
    <t>br+</t>
  </si>
  <si>
    <t>dr+</t>
  </si>
  <si>
    <t>qu+</t>
  </si>
  <si>
    <t>New approved DD values inserted. Now possible to insert + in AcroC when 2 different featured swimmers make 2 positions.</t>
  </si>
  <si>
    <t xml:space="preserve">     &gt;   If "Federation", choose federation name</t>
  </si>
  <si>
    <t>Türkiye - TUR</t>
  </si>
  <si>
    <t>Türkiye</t>
  </si>
  <si>
    <t>&gt;   Choose if this CC is for preliminaries, otherwise finals will be default</t>
  </si>
  <si>
    <r>
      <t xml:space="preserve">&gt;   If you also use my calculation program for scores, scroll down on the "Coach Card" sheet and copy the </t>
    </r>
    <r>
      <rPr>
        <b/>
        <sz val="11"/>
        <color theme="9"/>
        <rFont val="Calibri"/>
        <family val="2"/>
        <scheme val="minor"/>
      </rPr>
      <t>green area</t>
    </r>
    <r>
      <rPr>
        <sz val="11"/>
        <color theme="1"/>
        <rFont val="Calibri"/>
        <family val="2"/>
        <scheme val="minor"/>
      </rPr>
      <t>.</t>
    </r>
  </si>
  <si>
    <t>GROUP A</t>
  </si>
  <si>
    <t>GROUP B</t>
  </si>
  <si>
    <t>GROUP C</t>
  </si>
  <si>
    <t>GROUP P</t>
  </si>
  <si>
    <t>Code</t>
  </si>
  <si>
    <t>DD</t>
  </si>
  <si>
    <t>Thr&gt;St</t>
  </si>
  <si>
    <t>2SupU</t>
  </si>
  <si>
    <t>Thr&gt;Pair</t>
  </si>
  <si>
    <t>2SupD</t>
  </si>
  <si>
    <t>2SupM</t>
  </si>
  <si>
    <t>2S</t>
  </si>
  <si>
    <t>2SupD2F</t>
  </si>
  <si>
    <t>Flower</t>
  </si>
  <si>
    <t>L2F+</t>
  </si>
  <si>
    <t>P4</t>
  </si>
  <si>
    <t>St&gt;</t>
  </si>
  <si>
    <t>L+spot</t>
  </si>
  <si>
    <t>Lh2F</t>
  </si>
  <si>
    <t>Thr&gt;L</t>
  </si>
  <si>
    <t>Thr&gt;head&gt;</t>
  </si>
  <si>
    <t>2Sup+</t>
  </si>
  <si>
    <t>Thr&gt;Sq</t>
  </si>
  <si>
    <t>Thr&gt;St2</t>
  </si>
  <si>
    <t>N/A</t>
  </si>
  <si>
    <t>FAb</t>
  </si>
  <si>
    <t>1FA</t>
  </si>
  <si>
    <t>3pK</t>
  </si>
  <si>
    <t>3pb</t>
  </si>
  <si>
    <t>SiF+Pb</t>
  </si>
  <si>
    <t>ShF+P</t>
  </si>
  <si>
    <t>LiH</t>
  </si>
  <si>
    <t>4p</t>
  </si>
  <si>
    <t>2pA</t>
  </si>
  <si>
    <t>4pAb</t>
  </si>
  <si>
    <t>Bb</t>
  </si>
  <si>
    <t>LayF</t>
  </si>
  <si>
    <t>1FH+1FP</t>
  </si>
  <si>
    <t>S+</t>
  </si>
  <si>
    <t>FF/</t>
  </si>
  <si>
    <t>Connstruction</t>
  </si>
  <si>
    <t>Connection</t>
  </si>
  <si>
    <t>Direction</t>
  </si>
  <si>
    <t>Variation</t>
  </si>
  <si>
    <t>sd</t>
  </si>
  <si>
    <t>hp</t>
  </si>
  <si>
    <t>Position 1</t>
  </si>
  <si>
    <t>2sd</t>
  </si>
  <si>
    <t>2hp</t>
  </si>
  <si>
    <t>Position 2</t>
  </si>
  <si>
    <t>r0.5</t>
  </si>
  <si>
    <t>Cr0.5</t>
  </si>
  <si>
    <t>Pr</t>
  </si>
  <si>
    <t>Cr1</t>
  </si>
  <si>
    <t>Pr0.5</t>
  </si>
  <si>
    <t>r1.5</t>
  </si>
  <si>
    <t>Cr1.5</t>
  </si>
  <si>
    <t>Pr1</t>
  </si>
  <si>
    <t>r0.5+</t>
  </si>
  <si>
    <t>Cr0.5!</t>
  </si>
  <si>
    <t>r1+</t>
  </si>
  <si>
    <t>Cr1!</t>
  </si>
  <si>
    <t>P0.5h</t>
  </si>
  <si>
    <t>r1.5+</t>
  </si>
  <si>
    <t>Cr1.5!</t>
  </si>
  <si>
    <t>P1h</t>
  </si>
  <si>
    <t>r0.5!</t>
  </si>
  <si>
    <t>Pr//</t>
  </si>
  <si>
    <t>CP0.5</t>
  </si>
  <si>
    <t>r1.5!</t>
  </si>
  <si>
    <t>Pr/</t>
  </si>
  <si>
    <t>Pr0.5/</t>
  </si>
  <si>
    <t>Pr1/</t>
  </si>
  <si>
    <t>r0.5L</t>
  </si>
  <si>
    <t>r0,5/</t>
  </si>
  <si>
    <t>r1/</t>
  </si>
  <si>
    <t>r1.5/</t>
  </si>
  <si>
    <t>Rotation Base</t>
  </si>
  <si>
    <t>Ct0.5</t>
  </si>
  <si>
    <t>dt0.5</t>
  </si>
  <si>
    <t>Ct1</t>
  </si>
  <si>
    <t>Ct1.5</t>
  </si>
  <si>
    <t>dt1.5</t>
  </si>
  <si>
    <t>Ct2</t>
  </si>
  <si>
    <t>Ct2.5</t>
  </si>
  <si>
    <t>s1f</t>
  </si>
  <si>
    <t>Ct3</t>
  </si>
  <si>
    <t>ss1</t>
  </si>
  <si>
    <t>ss1f</t>
  </si>
  <si>
    <t>Cdt0.5</t>
  </si>
  <si>
    <t>s1.5</t>
  </si>
  <si>
    <t>Cdt1</t>
  </si>
  <si>
    <t>s1.5f</t>
  </si>
  <si>
    <t>Cdt1.5</t>
  </si>
  <si>
    <t>s1.5o</t>
  </si>
  <si>
    <t>Cs1</t>
  </si>
  <si>
    <t>s1.5fo</t>
  </si>
  <si>
    <t>Css1</t>
  </si>
  <si>
    <t>Cs1.5</t>
  </si>
  <si>
    <t>s2o</t>
  </si>
  <si>
    <t>Cs1.5o</t>
  </si>
  <si>
    <t>s2f</t>
  </si>
  <si>
    <t>Cf1</t>
  </si>
  <si>
    <t>s2fo</t>
  </si>
  <si>
    <t>Cf1.5</t>
  </si>
  <si>
    <t>s2.5</t>
  </si>
  <si>
    <t>Cf2</t>
  </si>
  <si>
    <t>s2.5f</t>
  </si>
  <si>
    <t>Cc</t>
  </si>
  <si>
    <t>Cct0.5</t>
  </si>
  <si>
    <t>Cct1</t>
  </si>
  <si>
    <t>f1.5</t>
  </si>
  <si>
    <t>Cht0.5</t>
  </si>
  <si>
    <t>Cht1</t>
  </si>
  <si>
    <t>ct0.5</t>
  </si>
  <si>
    <t>ct1</t>
  </si>
  <si>
    <t>Chs1</t>
  </si>
  <si>
    <t>Cs0.5t0.5</t>
  </si>
  <si>
    <t>ht0.5</t>
  </si>
  <si>
    <t>ht1</t>
  </si>
  <si>
    <t>Cs1t1</t>
  </si>
  <si>
    <t>hs1</t>
  </si>
  <si>
    <t>Cs1t1.5</t>
  </si>
  <si>
    <t>Cs1t2</t>
  </si>
  <si>
    <t>Css1t0.5</t>
  </si>
  <si>
    <t>h0.5s1.5</t>
  </si>
  <si>
    <t>Css1t1</t>
  </si>
  <si>
    <t>Css1t1.5</t>
  </si>
  <si>
    <t>s1t0.5</t>
  </si>
  <si>
    <t>Css1t2</t>
  </si>
  <si>
    <t>s1t0.5f</t>
  </si>
  <si>
    <t>Css1t2.5</t>
  </si>
  <si>
    <t>s1t1.5</t>
  </si>
  <si>
    <t>s1.5t0.5</t>
  </si>
  <si>
    <t>s1.5t0.5o</t>
  </si>
  <si>
    <t>s1.5t1</t>
  </si>
  <si>
    <t>s1.5t1.5</t>
  </si>
  <si>
    <t>s2t0.5</t>
  </si>
  <si>
    <t>s2t0.5o</t>
  </si>
  <si>
    <t>ss1t0.5</t>
  </si>
  <si>
    <t>ss1t1</t>
  </si>
  <si>
    <t>ss1t1.5</t>
  </si>
  <si>
    <t>ss1t2</t>
  </si>
  <si>
    <t>ss1t2.5</t>
  </si>
  <si>
    <t>ss1t3</t>
  </si>
  <si>
    <t>t0.5</t>
  </si>
  <si>
    <t>t1.5</t>
  </si>
  <si>
    <t>t2.5</t>
  </si>
  <si>
    <t>Rotation Plane</t>
  </si>
  <si>
    <t>Dbl</t>
  </si>
  <si>
    <t>Jump</t>
  </si>
  <si>
    <t>Grip</t>
  </si>
  <si>
    <t>Jump&gt;</t>
  </si>
  <si>
    <t>UP</t>
  </si>
  <si>
    <t>Catch</t>
  </si>
  <si>
    <t>Hold</t>
  </si>
  <si>
    <t>Slip</t>
  </si>
  <si>
    <t>Split</t>
  </si>
  <si>
    <t>Movhead</t>
  </si>
  <si>
    <t>Moon</t>
  </si>
  <si>
    <t>Run</t>
  </si>
  <si>
    <t>Wave</t>
  </si>
  <si>
    <t>Twirl</t>
  </si>
  <si>
    <t>Mov</t>
  </si>
  <si>
    <t>Roll</t>
  </si>
  <si>
    <t>Trav</t>
  </si>
  <si>
    <t>Turn</t>
  </si>
  <si>
    <t>Stand</t>
  </si>
  <si>
    <t>On1Foot</t>
  </si>
  <si>
    <t>Ps1</t>
  </si>
  <si>
    <t>Spider</t>
  </si>
  <si>
    <t>Climb</t>
  </si>
  <si>
    <t>Fall</t>
  </si>
  <si>
    <t>Bonus</t>
  </si>
  <si>
    <t>Component and group</t>
  </si>
  <si>
    <t>Applicable</t>
  </si>
  <si>
    <t>Minimal</t>
  </si>
  <si>
    <t>Requirement</t>
  </si>
  <si>
    <t>Pair Acro</t>
  </si>
  <si>
    <t>Hybrid - Free</t>
  </si>
  <si>
    <t>Acrobatic - Pair</t>
  </si>
  <si>
    <t>Transition - Surface Connection</t>
  </si>
  <si>
    <t>Hybrid - min 4 swimmers (no DD)</t>
  </si>
  <si>
    <t>Hybrid - All Team swimmers</t>
  </si>
  <si>
    <t>S/D/M/T</t>
  </si>
  <si>
    <t>Hybrid - Thrust + 2 connections</t>
  </si>
  <si>
    <t>H.Team 4</t>
  </si>
  <si>
    <t>H.Team All</t>
  </si>
  <si>
    <t>Team hyb All</t>
  </si>
  <si>
    <t>Team hyb 4</t>
  </si>
  <si>
    <t>Base Mark
or
No DD</t>
  </si>
  <si>
    <t>Base mark</t>
  </si>
  <si>
    <t>H</t>
  </si>
  <si>
    <t>PA</t>
  </si>
  <si>
    <t>A</t>
  </si>
  <si>
    <t>TB</t>
  </si>
  <si>
    <t>SB</t>
  </si>
  <si>
    <t>SCB</t>
  </si>
  <si>
    <t>SCDB</t>
  </si>
  <si>
    <t>S1</t>
  </si>
  <si>
    <t>SC1</t>
  </si>
  <si>
    <t>SCD1</t>
  </si>
  <si>
    <t>S2</t>
  </si>
  <si>
    <t>SC2</t>
  </si>
  <si>
    <t>SCD2</t>
  </si>
  <si>
    <t>S3</t>
  </si>
  <si>
    <t>SC3</t>
  </si>
  <si>
    <t>SCD3</t>
  </si>
  <si>
    <t>S4</t>
  </si>
  <si>
    <t>SC4</t>
  </si>
  <si>
    <t>SCD4</t>
  </si>
  <si>
    <t>S5</t>
  </si>
  <si>
    <t>SC5</t>
  </si>
  <si>
    <t>SCD5</t>
  </si>
  <si>
    <t>S6</t>
  </si>
  <si>
    <t>SC6</t>
  </si>
  <si>
    <t>SCD6</t>
  </si>
  <si>
    <t>S7</t>
  </si>
  <si>
    <t>S8</t>
  </si>
  <si>
    <t>S9</t>
  </si>
  <si>
    <t>S10</t>
  </si>
  <si>
    <t>RB</t>
  </si>
  <si>
    <t>1RB</t>
  </si>
  <si>
    <t>2RB</t>
  </si>
  <si>
    <t>1R1</t>
  </si>
  <si>
    <t>2R1</t>
  </si>
  <si>
    <t>RD1</t>
  </si>
  <si>
    <t>RU1</t>
  </si>
  <si>
    <t>RO1</t>
  </si>
  <si>
    <t>RC1</t>
  </si>
  <si>
    <t>1R2</t>
  </si>
  <si>
    <t>2R2</t>
  </si>
  <si>
    <t>RD2</t>
  </si>
  <si>
    <t>RU2</t>
  </si>
  <si>
    <t>1R3</t>
  </si>
  <si>
    <t>2R3</t>
  </si>
  <si>
    <t>RU3</t>
  </si>
  <si>
    <t>1R4</t>
  </si>
  <si>
    <t>2R4</t>
  </si>
  <si>
    <t>RD4</t>
  </si>
  <si>
    <t>RU4</t>
  </si>
  <si>
    <t>1R5</t>
  </si>
  <si>
    <t>2R5</t>
  </si>
  <si>
    <t>RU5</t>
  </si>
  <si>
    <t>1R6</t>
  </si>
  <si>
    <t>2R6</t>
  </si>
  <si>
    <t>RD6</t>
  </si>
  <si>
    <t>RU6</t>
  </si>
  <si>
    <t>2R7</t>
  </si>
  <si>
    <t>RU7</t>
  </si>
  <si>
    <t>2R8</t>
  </si>
  <si>
    <t>RU8</t>
  </si>
  <si>
    <t>2R9</t>
  </si>
  <si>
    <t>RU9</t>
  </si>
  <si>
    <t>2R10</t>
  </si>
  <si>
    <t>RU10</t>
  </si>
  <si>
    <t>AB</t>
  </si>
  <si>
    <t>A5</t>
  </si>
  <si>
    <t>A6</t>
  </si>
  <si>
    <t>A7</t>
  </si>
  <si>
    <t>A8</t>
  </si>
  <si>
    <t>FB</t>
  </si>
  <si>
    <t>F7</t>
  </si>
  <si>
    <t>F9</t>
  </si>
  <si>
    <t>F10</t>
  </si>
  <si>
    <t>CB</t>
  </si>
  <si>
    <t>CB+</t>
  </si>
  <si>
    <t>C7</t>
  </si>
  <si>
    <t>C7+</t>
  </si>
  <si>
    <t>Drop down formulas for each DD-cell</t>
  </si>
  <si>
    <t>Cons_</t>
  </si>
  <si>
    <t>Conx_</t>
  </si>
  <si>
    <t>Dirx_</t>
  </si>
  <si>
    <t>Pos1_</t>
  </si>
  <si>
    <t>Pos2_</t>
  </si>
  <si>
    <t>RotB_</t>
  </si>
  <si>
    <t>RotP_</t>
  </si>
  <si>
    <t>AcroBonus_</t>
  </si>
  <si>
    <t>No</t>
  </si>
  <si>
    <t>Acro check</t>
  </si>
  <si>
    <t>Cons</t>
  </si>
  <si>
    <t>Conx</t>
  </si>
  <si>
    <t>Dirx</t>
  </si>
  <si>
    <t>Pos1</t>
  </si>
  <si>
    <t>Pos2</t>
  </si>
  <si>
    <t>RotB</t>
  </si>
  <si>
    <t>RotP</t>
  </si>
  <si>
    <t>Bon1</t>
  </si>
  <si>
    <t>Bon2</t>
  </si>
  <si>
    <t>Pos1&lt;&gt;Pos2</t>
  </si>
  <si>
    <t>No choise for this Acro type</t>
  </si>
  <si>
    <t>Yes</t>
  </si>
  <si>
    <t>AcroBonus_A_Code</t>
  </si>
  <si>
    <t>AcroBonus_B_Code</t>
  </si>
  <si>
    <t>AcroBonus_C_Code</t>
  </si>
  <si>
    <t>AcroBonus_P_Code</t>
  </si>
  <si>
    <t>Cons_A_Code</t>
  </si>
  <si>
    <t>Cons_B_Code</t>
  </si>
  <si>
    <t>Cons_C_Code</t>
  </si>
  <si>
    <t>Cons_P_Code</t>
  </si>
  <si>
    <t>Dirx_A_Code</t>
  </si>
  <si>
    <t>Dirx_B_Code</t>
  </si>
  <si>
    <t>Dirx_C_Code</t>
  </si>
  <si>
    <t>Dirx_P_Code</t>
  </si>
  <si>
    <t>Pos1_A_Code</t>
  </si>
  <si>
    <t>Pos1_B_Code</t>
  </si>
  <si>
    <t>Pos1_C_Code</t>
  </si>
  <si>
    <t>Pos1_P_Code</t>
  </si>
  <si>
    <t>Pos2_A_Code</t>
  </si>
  <si>
    <t>Pos2_B_Code</t>
  </si>
  <si>
    <t>Pos2_C_Code</t>
  </si>
  <si>
    <t>Pos2_P_Code</t>
  </si>
  <si>
    <t>RotP_A_Code</t>
  </si>
  <si>
    <t>RotP_B_Code</t>
  </si>
  <si>
    <t>RotP_C_Code</t>
  </si>
  <si>
    <t>RotP_P_Code</t>
  </si>
  <si>
    <t>RotB_A_Code</t>
  </si>
  <si>
    <t>RotB_B_Code</t>
  </si>
  <si>
    <t>RotB_C_Code</t>
  </si>
  <si>
    <t>RotB_P_Code</t>
  </si>
  <si>
    <t>Conx_A_Code</t>
  </si>
  <si>
    <t>Conx_B_Code</t>
  </si>
  <si>
    <t>Conx_C_Code</t>
  </si>
  <si>
    <t>Conx_P_Code</t>
  </si>
  <si>
    <t>Conn</t>
  </si>
  <si>
    <t>Minimum Declaration Requirements</t>
  </si>
  <si>
    <t>Bonus?</t>
  </si>
  <si>
    <t>Hybrid check</t>
  </si>
  <si>
    <t>T</t>
  </si>
  <si>
    <t>S</t>
  </si>
  <si>
    <t>R</t>
  </si>
  <si>
    <t>Solo?</t>
  </si>
  <si>
    <t>v 6.0</t>
  </si>
  <si>
    <t>Adjusted according to new rules. Apnea removed.</t>
  </si>
  <si>
    <t>Pair
Acro</t>
  </si>
  <si>
    <t>Check</t>
  </si>
  <si>
    <t>Cadence.hyb</t>
  </si>
  <si>
    <t>Hybrid - Cadence</t>
  </si>
  <si>
    <t>H.Cadence</t>
  </si>
  <si>
    <t>Yo</t>
  </si>
  <si>
    <t>Active</t>
  </si>
  <si>
    <t>T2a</t>
  </si>
  <si>
    <t>T2b</t>
  </si>
  <si>
    <t>T3a</t>
  </si>
  <si>
    <t>T3b</t>
  </si>
  <si>
    <t>T3c</t>
  </si>
  <si>
    <t>T3d</t>
  </si>
  <si>
    <t>T4a</t>
  </si>
  <si>
    <t>T4b</t>
  </si>
  <si>
    <t>T4c</t>
  </si>
  <si>
    <t>T4d</t>
  </si>
  <si>
    <t>T5a</t>
  </si>
  <si>
    <t>T5b</t>
  </si>
  <si>
    <t>T5c</t>
  </si>
  <si>
    <t>T5d</t>
  </si>
  <si>
    <t>T5e</t>
  </si>
  <si>
    <t>T6a</t>
  </si>
  <si>
    <t>T6b</t>
  </si>
  <si>
    <t>T6c</t>
  </si>
  <si>
    <t>T9a</t>
  </si>
  <si>
    <t>T9b</t>
  </si>
  <si>
    <t>ROB</t>
  </si>
  <si>
    <t>RCB</t>
  </si>
  <si>
    <t>A1a</t>
  </si>
  <si>
    <t>A1b</t>
  </si>
  <si>
    <t>A1c</t>
  </si>
  <si>
    <t>A1d</t>
  </si>
  <si>
    <t>A2a</t>
  </si>
  <si>
    <t>A2b</t>
  </si>
  <si>
    <t>A3a</t>
  </si>
  <si>
    <t>A3b</t>
  </si>
  <si>
    <t>A4a</t>
  </si>
  <si>
    <t>A4b</t>
  </si>
  <si>
    <t>F1a</t>
  </si>
  <si>
    <t>F1b</t>
  </si>
  <si>
    <t>F1c</t>
  </si>
  <si>
    <t>F2a</t>
  </si>
  <si>
    <t>F2b</t>
  </si>
  <si>
    <t>F2c</t>
  </si>
  <si>
    <t>F3a</t>
  </si>
  <si>
    <t>F3b</t>
  </si>
  <si>
    <t>F3c</t>
  </si>
  <si>
    <t>F4a</t>
  </si>
  <si>
    <t>F4b</t>
  </si>
  <si>
    <t>F4c</t>
  </si>
  <si>
    <t>F4d</t>
  </si>
  <si>
    <t>F4e</t>
  </si>
  <si>
    <t>F4f</t>
  </si>
  <si>
    <t>F5a</t>
  </si>
  <si>
    <t>F5b</t>
  </si>
  <si>
    <t>F5c</t>
  </si>
  <si>
    <t>F6a</t>
  </si>
  <si>
    <t>F6b</t>
  </si>
  <si>
    <t>F6c</t>
  </si>
  <si>
    <t>F6d</t>
  </si>
  <si>
    <t>F8a</t>
  </si>
  <si>
    <t>F8b</t>
  </si>
  <si>
    <t>C1a</t>
  </si>
  <si>
    <t>C1b</t>
  </si>
  <si>
    <t>C1a+</t>
  </si>
  <si>
    <t>C1b+</t>
  </si>
  <si>
    <t>C2a</t>
  </si>
  <si>
    <t>C2b</t>
  </si>
  <si>
    <t>C2c</t>
  </si>
  <si>
    <t>C2a+</t>
  </si>
  <si>
    <t>C2b+</t>
  </si>
  <si>
    <t>C2c+</t>
  </si>
  <si>
    <t>C6a</t>
  </si>
  <si>
    <t>C6b</t>
  </si>
  <si>
    <t>C6a+</t>
  </si>
  <si>
    <t>C6b+</t>
  </si>
  <si>
    <t>Family</t>
  </si>
  <si>
    <t>&gt;3</t>
  </si>
  <si>
    <t>Hybrid
Teqnique</t>
  </si>
  <si>
    <t>Hybrid
Family</t>
  </si>
  <si>
    <t>Acro?</t>
  </si>
  <si>
    <t>T4e</t>
  </si>
  <si>
    <t>dt2</t>
  </si>
  <si>
    <t>hd</t>
  </si>
  <si>
    <t>h0.5s1</t>
  </si>
  <si>
    <t>s1t1f</t>
  </si>
  <si>
    <t>s1.5t0.5f</t>
  </si>
  <si>
    <t>s1.5t0.5fo</t>
  </si>
  <si>
    <t>s2t0.5f</t>
  </si>
  <si>
    <t>s2t0.5fo</t>
  </si>
  <si>
    <t>s2t1o</t>
  </si>
  <si>
    <t>s2t1fo</t>
  </si>
  <si>
    <t>ss1t0.5f</t>
  </si>
  <si>
    <t>ss1t1f</t>
  </si>
  <si>
    <t>Pos3</t>
  </si>
  <si>
    <t>Hula</t>
  </si>
  <si>
    <t>RetSq</t>
  </si>
  <si>
    <t>RetPa</t>
  </si>
  <si>
    <t>Bonus
check</t>
  </si>
  <si>
    <t>LH</t>
  </si>
  <si>
    <t>1P1F</t>
  </si>
  <si>
    <t>Tow</t>
  </si>
  <si>
    <t>1F1P</t>
  </si>
  <si>
    <t>1F1F</t>
  </si>
  <si>
    <t>r2+</t>
  </si>
  <si>
    <t>RotF</t>
  </si>
  <si>
    <t>SdUp</t>
  </si>
  <si>
    <t>L/SiF+P</t>
  </si>
  <si>
    <t>&gt;F1P</t>
  </si>
  <si>
    <t>3pBb</t>
  </si>
  <si>
    <t>3pB+b</t>
  </si>
  <si>
    <t>&gt;1P1P/</t>
  </si>
  <si>
    <t>1Fxs/</t>
  </si>
  <si>
    <t>On2b</t>
  </si>
  <si>
    <t>2b/</t>
  </si>
  <si>
    <t>pr0.5//</t>
  </si>
  <si>
    <t>Pr1//</t>
  </si>
  <si>
    <t>CH</t>
  </si>
  <si>
    <t>Porp</t>
  </si>
  <si>
    <t>Spich</t>
  </si>
  <si>
    <t>Dive</t>
  </si>
  <si>
    <t>Ps1t0.5</t>
  </si>
  <si>
    <t>Ps1op</t>
  </si>
  <si>
    <t>Ps1t0,5o</t>
  </si>
  <si>
    <t>Ps1t1</t>
  </si>
  <si>
    <t>CH+</t>
  </si>
  <si>
    <t>FTurn</t>
  </si>
  <si>
    <t>Swim</t>
  </si>
  <si>
    <t>Arch</t>
  </si>
  <si>
    <t>Thr&gt;FF</t>
  </si>
  <si>
    <t>Thr&gt;F</t>
  </si>
  <si>
    <t>Thr^Lh</t>
  </si>
  <si>
    <t>Thr^2F</t>
  </si>
  <si>
    <t>Thr+Thr</t>
  </si>
  <si>
    <t>Bln</t>
  </si>
  <si>
    <t>Cr0.5L</t>
  </si>
  <si>
    <t>2F0.5</t>
  </si>
  <si>
    <t>2F1</t>
  </si>
  <si>
    <t>Cd</t>
  </si>
  <si>
    <t>Chs1t0.5</t>
  </si>
  <si>
    <t>Cs1t1o</t>
  </si>
  <si>
    <t>Cs1t1.5o</t>
  </si>
  <si>
    <t>Cs1t2o</t>
  </si>
  <si>
    <t>1F&gt;1F</t>
  </si>
  <si>
    <t>Bey</t>
  </si>
  <si>
    <t>BRun</t>
  </si>
  <si>
    <t>Cx</t>
  </si>
  <si>
    <t>C-Roll</t>
  </si>
  <si>
    <t>L!r0.5»</t>
  </si>
  <si>
    <t>L!fr0.5»</t>
  </si>
  <si>
    <t>Lr0.5</t>
  </si>
  <si>
    <t>L!r0.5</t>
  </si>
  <si>
    <t>Lfr0.5</t>
  </si>
  <si>
    <t>L!fr0.5</t>
  </si>
  <si>
    <t>SL!r0.5&gt;</t>
  </si>
  <si>
    <t>Jr0.5</t>
  </si>
  <si>
    <t>SL!fr0.5&gt;</t>
  </si>
  <si>
    <t>W!r0.5</t>
  </si>
  <si>
    <t>W!s0.5</t>
  </si>
  <si>
    <t>W!fr0.5</t>
  </si>
  <si>
    <t>Js0.5t0.5</t>
  </si>
  <si>
    <t>W!s0.5t0.5</t>
  </si>
  <si>
    <t>JBs1t0.5</t>
  </si>
  <si>
    <t>Amount Hybrid families</t>
  </si>
  <si>
    <t>All families present?</t>
  </si>
  <si>
    <t>To many?</t>
  </si>
  <si>
    <t>Dir</t>
  </si>
  <si>
    <t>Bonus1</t>
  </si>
  <si>
    <t>Bonus2</t>
  </si>
  <si>
    <t>Correct
part?</t>
  </si>
  <si>
    <t>TRE-1</t>
  </si>
  <si>
    <t>TRE-2</t>
  </si>
  <si>
    <t>TRE-3</t>
  </si>
  <si>
    <t>TRE-4</t>
  </si>
  <si>
    <t>TRE-5</t>
  </si>
  <si>
    <t>&gt;5 (&gt;1)</t>
  </si>
  <si>
    <t>Team Acro repeats</t>
  </si>
  <si>
    <t>Group A</t>
  </si>
  <si>
    <t>Group B</t>
  </si>
  <si>
    <t>Group C</t>
  </si>
  <si>
    <t>Group P</t>
  </si>
  <si>
    <t>(Pos2)</t>
  </si>
  <si>
    <t>(Pos1)</t>
  </si>
  <si>
    <t xml:space="preserve"> (Green) = A value has to be inserted</t>
  </si>
  <si>
    <t xml:space="preserve"> (Gray) = No entry in this cell</t>
  </si>
  <si>
    <t xml:space="preserve"> (Red) = Something is wrong - check rules</t>
  </si>
  <si>
    <t>12y/Youth safety limits (Team/Combo)</t>
  </si>
  <si>
    <t xml:space="preserve">     &gt;   If "Club", write the name of the club manually</t>
  </si>
  <si>
    <t>&gt;   Write the name of the Theme for this participant (mandatory for Free Combination!)</t>
  </si>
  <si>
    <t>You will now be able to see how many elements the CC have to have according to WA-rules.</t>
  </si>
  <si>
    <t xml:space="preserve">     &gt; If red - The time limit for the program is incorrect acording to WA-rules.</t>
  </si>
  <si>
    <t xml:space="preserve">     &gt; If red - Conflict with WA-rules</t>
  </si>
  <si>
    <t>&gt;   Choose what kind of performance the swimmer will do at this particulary time period.</t>
  </si>
  <si>
    <t>&gt;   Declare what DD(s) this element includes. Only one code per cell. By writing or drop-list.</t>
  </si>
  <si>
    <t xml:space="preserve">     &gt; If red background - Possible conflict with WA-rules. But this is only a warning. You decide if you want to keep it this way. </t>
  </si>
  <si>
    <t xml:space="preserve">     &gt; Acro bonus will be written together with declared difficulties on the print-out. This is correct according to WA-recommendations</t>
  </si>
  <si>
    <t xml:space="preserve">     &gt; If green background - This cell is mandatory for this element</t>
  </si>
  <si>
    <r>
      <t xml:space="preserve">     &gt; If gray background - This cell is should </t>
    </r>
    <r>
      <rPr>
        <b/>
        <sz val="11"/>
        <color theme="1"/>
        <rFont val="Calibri"/>
        <family val="2"/>
        <scheme val="minor"/>
      </rPr>
      <t>not</t>
    </r>
    <r>
      <rPr>
        <sz val="11"/>
        <color theme="1"/>
        <rFont val="Calibri"/>
        <family val="2"/>
        <scheme val="minor"/>
      </rPr>
      <t xml:space="preserve"> be used for this element</t>
    </r>
  </si>
  <si>
    <t xml:space="preserve">     &gt; If white background - This cell is is possible, but not mandatory, to use for this element</t>
  </si>
  <si>
    <t xml:space="preserve">     &gt; Hybrid bonus is only allowed in Teams (Tech/Free) and Free Combination</t>
  </si>
  <si>
    <t xml:space="preserve">     &gt; If you have calculation progran version 2024-20 or later, you can easly paste the copied cells by a blue button on the difficulty sheet.</t>
  </si>
  <si>
    <t xml:space="preserve">     &gt; If you dont have calculation progran version 2024-20 or later, you have to manually paste (paste as value only!) it yourself (unlock the sheet first).</t>
  </si>
  <si>
    <t>Data Managers instructions</t>
  </si>
  <si>
    <t>Acrobatic
routine</t>
  </si>
  <si>
    <t>Group</t>
  </si>
  <si>
    <t>Acro check in Acrobatics</t>
  </si>
  <si>
    <t>To many</t>
  </si>
  <si>
    <t>v 6.1</t>
  </si>
  <si>
    <t>Acrobatic - Check</t>
  </si>
  <si>
    <t>Check on Acro groups (max 2 of same + minimum 1 of each). Check on "Theme" for Acrobatic. Clearer warning when exceeding time limit.</t>
  </si>
  <si>
    <t>v 6.2</t>
  </si>
  <si>
    <t>Multiple SuConn now possible directly after each other</t>
  </si>
  <si>
    <t>W!fr1.5</t>
  </si>
  <si>
    <t>Jfs1B</t>
  </si>
  <si>
    <t>Js1F</t>
  </si>
  <si>
    <t>v 6.3</t>
  </si>
  <si>
    <t>Updated tables from WA after LEN-clinic</t>
  </si>
  <si>
    <t>v 6.4</t>
  </si>
  <si>
    <t>Updated value on TRE womens duets no 3. Changed minimum team hybrids in Free Combination</t>
  </si>
  <si>
    <t>v. 6.5</t>
  </si>
  <si>
    <t>Mixed Req.Hyb.</t>
  </si>
  <si>
    <t>TB*0,5</t>
  </si>
  <si>
    <t>T1*0,5</t>
  </si>
  <si>
    <t>T2a*0,5</t>
  </si>
  <si>
    <t>T2b*0,5</t>
  </si>
  <si>
    <t>T3a*0,5</t>
  </si>
  <si>
    <t>T3b*0,5</t>
  </si>
  <si>
    <t>T3c*0,5</t>
  </si>
  <si>
    <t>T3d*0,5</t>
  </si>
  <si>
    <t>T4a*0,5</t>
  </si>
  <si>
    <t>T4b*0,5</t>
  </si>
  <si>
    <t>T4c*0,5</t>
  </si>
  <si>
    <t>T4d*0,5</t>
  </si>
  <si>
    <t>T4e*0,5</t>
  </si>
  <si>
    <t>T5a*0,5</t>
  </si>
  <si>
    <t>T5b*0,5</t>
  </si>
  <si>
    <t>T5c*0,5</t>
  </si>
  <si>
    <t>T5d*0,5</t>
  </si>
  <si>
    <t>T5e*0,5</t>
  </si>
  <si>
    <t>T6a*0,5</t>
  </si>
  <si>
    <t>T6b*0,5</t>
  </si>
  <si>
    <t>T6c*0,5</t>
  </si>
  <si>
    <t>T7*0,5</t>
  </si>
  <si>
    <t>T8*0,5</t>
  </si>
  <si>
    <t>T9a*0,5</t>
  </si>
  <si>
    <t>T9b*0,5</t>
  </si>
  <si>
    <t>CB*0,5</t>
  </si>
  <si>
    <t>C1a*0,5</t>
  </si>
  <si>
    <t>C1b*0,5</t>
  </si>
  <si>
    <t>C2a*0,5</t>
  </si>
  <si>
    <t>C2b*0,5</t>
  </si>
  <si>
    <t>C2c*0,5</t>
  </si>
  <si>
    <t>C3*0,5</t>
  </si>
  <si>
    <t>C4*0,5</t>
  </si>
  <si>
    <t>C5*0,5</t>
  </si>
  <si>
    <t>C6a*0,5</t>
  </si>
  <si>
    <t>C6b*0,5</t>
  </si>
  <si>
    <t>C7*0,5</t>
  </si>
  <si>
    <t>Hyb.Req-check</t>
  </si>
  <si>
    <t>7PC</t>
  </si>
  <si>
    <t>8PC</t>
  </si>
  <si>
    <t>9PC</t>
  </si>
  <si>
    <t>10PC</t>
  </si>
  <si>
    <t>11PC</t>
  </si>
  <si>
    <t>12PC</t>
  </si>
  <si>
    <t>13PC</t>
  </si>
  <si>
    <t>14PC</t>
  </si>
  <si>
    <t>15PC</t>
  </si>
  <si>
    <t>v 6.5</t>
  </si>
  <si>
    <t>Hybrid with no DD - fixed problems with filling in after box 1 + take away bonus choices. Combo - No bonus choices now in Hybrid Solo/Duet. Mixed Tech Duet - Now fixed to only 3 boxes with family T+C+C, red if not. Teams - PC up to 15 in bonus.</t>
  </si>
  <si>
    <t>Club:</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</si>
</sst>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0\ &quot;kr&quot;;[Red]\-#,##0\ &quot;kr&quot;"/>
    <numFmt numFmtId="165" formatCode="00"/>
    <numFmt numFmtId="166" formatCode="mm:ss;@"/>
    <numFmt numFmtId="167" formatCode="0.000"/>
    <numFmt numFmtId="168" formatCode="0.0"/>
    <numFmt numFmtId="169" formatCode="0.0%"/>
    <numFmt numFmtId="170" formatCode="0.0000"/>
    <numFmt numFmtId="171" formatCode="0.000#"/>
  </numFmts>
  <fonts count="49" x14ac:knownFonts="1">
    <font>
      <sz val="11"/>
      <color theme="1"/>
      <name val="Calibri"/>
      <family val="2"/>
      <scheme val="minor"/>
    </font>
    <font>
      <sz val="11"/>
      <color theme="1"/>
      <name val="Calibri"/>
      <family val="2"/>
      <charset val="204"/>
      <scheme val="minor"/>
    </font>
    <font>
      <sz val="10"/>
      <color theme="1"/>
      <name val="Arial"/>
      <family val="2"/>
    </font>
    <font>
      <b/>
      <sz val="28"/>
      <color theme="0"/>
      <name val="Arial"/>
      <family val="2"/>
    </font>
    <font>
      <b/>
      <sz val="10"/>
      <color theme="1"/>
      <name val="Arial"/>
      <family val="2"/>
    </font>
    <font>
      <sz val="10"/>
      <color theme="1"/>
      <name val="Calibri"/>
      <family val="2"/>
      <charset val="204"/>
      <scheme val="minor"/>
    </font>
    <font>
      <sz val="10"/>
      <color theme="0"/>
      <name val="Arial"/>
      <family val="2"/>
    </font>
    <font>
      <sz val="10"/>
      <name val="Arial"/>
      <family val="2"/>
    </font>
    <font>
      <sz val="8"/>
      <color theme="1"/>
      <name val="Arial"/>
      <family val="2"/>
    </font>
    <font>
      <b/>
      <sz val="10"/>
      <color theme="1"/>
      <name val="Calibri"/>
      <family val="2"/>
      <scheme val="minor"/>
    </font>
    <font>
      <sz val="8"/>
      <name val="Calibri"/>
      <family val="2"/>
      <scheme val="minor"/>
    </font>
    <font>
      <sz val="11"/>
      <color theme="0"/>
      <name val="Calibri"/>
      <family val="2"/>
      <scheme val="minor"/>
    </font>
    <font>
      <b/>
      <sz val="10"/>
      <color theme="0"/>
      <name val="Arial"/>
      <family val="2"/>
    </font>
    <font>
      <sz val="10"/>
      <color theme="0"/>
      <name val="Calibri"/>
      <family val="2"/>
      <charset val="204"/>
      <scheme val="minor"/>
    </font>
    <font>
      <sz val="10"/>
      <color theme="0" tint="-0.14999847407452621"/>
      <name val="Arial"/>
      <family val="2"/>
    </font>
    <font>
      <sz val="11"/>
      <color theme="1"/>
      <name val="Arial"/>
      <family val="2"/>
    </font>
    <font>
      <sz val="10"/>
      <color rgb="FF000000"/>
      <name val="Times New Roman"/>
      <family val="1"/>
    </font>
    <font>
      <b/>
      <sz val="8"/>
      <name val="Tahoma"/>
      <family val="2"/>
    </font>
    <font>
      <b/>
      <sz val="6"/>
      <name val="Tahoma"/>
      <family val="2"/>
    </font>
    <font>
      <b/>
      <sz val="8"/>
      <name val="Arial Black"/>
      <family val="2"/>
    </font>
    <font>
      <b/>
      <sz val="11"/>
      <name val="Tahoma"/>
      <family val="2"/>
    </font>
    <font>
      <sz val="11"/>
      <color rgb="FF000000"/>
      <name val="Times New Roman"/>
      <family val="1"/>
    </font>
    <font>
      <sz val="12"/>
      <color rgb="FF000000"/>
      <name val="Times New Roman"/>
      <family val="1"/>
    </font>
    <font>
      <sz val="8"/>
      <name val="Tahoma"/>
      <family val="2"/>
    </font>
    <font>
      <b/>
      <sz val="11"/>
      <color rgb="FF000000"/>
      <name val="Times New Roman"/>
      <family val="1"/>
    </font>
    <font>
      <b/>
      <sz val="48"/>
      <name val="Calibri"/>
      <family val="2"/>
    </font>
    <font>
      <b/>
      <sz val="48"/>
      <color rgb="FF0182C5"/>
      <name val="Calibri"/>
      <family val="2"/>
    </font>
    <font>
      <sz val="14"/>
      <color rgb="FF000000"/>
      <name val="Calibri"/>
      <family val="2"/>
      <scheme val="minor"/>
    </font>
    <font>
      <sz val="11"/>
      <color rgb="FFFF0000"/>
      <name val="Calibri"/>
      <family val="2"/>
      <scheme val="minor"/>
    </font>
    <font>
      <b/>
      <sz val="10"/>
      <color rgb="FFFF0000"/>
      <name val="Arial"/>
      <family val="2"/>
    </font>
    <font>
      <sz val="10"/>
      <color rgb="FFFF0000"/>
      <name val="Arial"/>
      <family val="2"/>
    </font>
    <font>
      <sz val="10"/>
      <color rgb="FFFF0000"/>
      <name val="Calibri"/>
      <family val="2"/>
      <charset val="204"/>
      <scheme val="minor"/>
    </font>
    <font>
      <b/>
      <sz val="10"/>
      <color rgb="FFFF0000"/>
      <name val="Calibri"/>
      <family val="2"/>
      <scheme val="minor"/>
    </font>
    <font>
      <sz val="11"/>
      <color rgb="FFFF0000"/>
      <name val="Calibri"/>
      <family val="2"/>
      <charset val="204"/>
      <scheme val="minor"/>
    </font>
    <font>
      <b/>
      <sz val="16"/>
      <color theme="1"/>
      <name val="Calibri"/>
      <family val="2"/>
      <scheme val="minor"/>
    </font>
    <font>
      <b/>
      <sz val="12"/>
      <color rgb="FF000000"/>
      <name val="Times New Roman"/>
      <family val="1"/>
    </font>
    <font>
      <sz val="14"/>
      <color rgb="FF000000"/>
      <name val="Times New Roman"/>
      <family val="1"/>
    </font>
    <font>
      <i/>
      <sz val="11"/>
      <color theme="1"/>
      <name val="Calibri"/>
      <family val="2"/>
      <scheme val="minor"/>
    </font>
    <font>
      <b/>
      <sz val="9"/>
      <color theme="1"/>
      <name val="Arial"/>
      <family val="2"/>
    </font>
    <font>
      <sz val="10"/>
      <color rgb="FFFF0000"/>
      <name val="Times New Roman"/>
      <family val="1"/>
    </font>
    <font>
      <sz val="11"/>
      <color rgb="FFFF0000"/>
      <name val="Times New Roman"/>
      <family val="1"/>
    </font>
    <font>
      <b/>
      <sz val="11"/>
      <color rgb="FFFF0000"/>
      <name val="Times New Roman"/>
      <family val="1"/>
    </font>
    <font>
      <b/>
      <sz val="11"/>
      <color theme="1"/>
      <name val="Calibri"/>
      <family val="2"/>
      <scheme val="minor"/>
    </font>
    <font>
      <b/>
      <sz val="18"/>
      <color theme="1"/>
      <name val="Calibri"/>
      <family val="2"/>
      <scheme val="minor"/>
    </font>
    <font>
      <b/>
      <sz val="48"/>
      <color rgb="FF000000"/>
      <name val="Arial"/>
      <family val="2"/>
    </font>
    <font>
      <b/>
      <sz val="11"/>
      <color theme="9"/>
      <name val="Calibri"/>
      <family val="2"/>
      <scheme val="minor"/>
    </font>
    <font>
      <b/>
      <sz val="12"/>
      <color theme="1"/>
      <name val="Calibri"/>
      <family val="2"/>
      <scheme val="minor"/>
    </font>
    <font>
      <sz val="12"/>
      <color theme="1"/>
      <name val="Arial"/>
      <family val="2"/>
    </font>
    <font>
      <b/>
      <sz val="8"/>
      <color theme="1"/>
      <name val="Arial"/>
      <family val="2"/>
    </font>
  </fonts>
  <fills count="18">
    <fill>
      <patternFill patternType="none"/>
    </fill>
    <fill>
      <patternFill patternType="gray125"/>
    </fill>
    <fill>
      <patternFill patternType="solid">
        <fgColor theme="4" tint="0.39997558519241921"/>
        <bgColor indexed="64"/>
      </patternFill>
    </fill>
    <fill>
      <patternFill patternType="solid">
        <fgColor theme="0" tint="-0.14999847407452621"/>
        <bgColor indexed="64"/>
      </patternFill>
    </fill>
    <fill>
      <patternFill patternType="solid">
        <fgColor theme="7" tint="0.59999389629810485"/>
        <bgColor indexed="64"/>
      </patternFill>
    </fill>
    <fill>
      <patternFill patternType="solid">
        <fgColor rgb="FFFFFF00"/>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rgb="FFF1F1F1"/>
      </patternFill>
    </fill>
    <fill>
      <patternFill patternType="solid">
        <fgColor theme="0" tint="-4.9989318521683403E-2"/>
        <bgColor indexed="64"/>
      </patternFill>
    </fill>
    <fill>
      <patternFill patternType="solid">
        <fgColor rgb="FFFF0000"/>
        <bgColor indexed="64"/>
      </patternFill>
    </fill>
    <fill>
      <patternFill patternType="solid">
        <fgColor theme="0"/>
        <bgColor indexed="64"/>
      </patternFill>
    </fill>
    <fill>
      <patternFill patternType="solid">
        <fgColor theme="6" tint="0.59999389629810485"/>
        <bgColor indexed="64"/>
      </patternFill>
    </fill>
    <fill>
      <patternFill patternType="solid">
        <fgColor rgb="FFFFA3A3"/>
        <bgColor indexed="64"/>
      </patternFill>
    </fill>
    <fill>
      <patternFill patternType="solid">
        <fgColor theme="9" tint="0.59999389629810485"/>
        <bgColor indexed="64"/>
      </patternFill>
    </fill>
    <fill>
      <patternFill patternType="solid">
        <fgColor theme="0" tint="-0.249977111117893"/>
        <bgColor indexed="64"/>
      </patternFill>
    </fill>
  </fills>
  <borders count="54">
    <border>
      <left/>
      <right/>
      <top/>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top style="thin">
        <color indexed="64"/>
      </top>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auto="1"/>
      </bottom>
      <diagonal/>
    </border>
    <border>
      <left style="medium">
        <color indexed="64"/>
      </left>
      <right/>
      <top/>
      <bottom style="medium">
        <color auto="1"/>
      </bottom>
      <diagonal/>
    </border>
    <border>
      <left style="thin">
        <color indexed="64"/>
      </left>
      <right/>
      <top style="thin">
        <color indexed="64"/>
      </top>
      <bottom/>
      <diagonal/>
    </border>
    <border>
      <left style="thin">
        <color indexed="64"/>
      </left>
      <right/>
      <top/>
      <bottom/>
      <diagonal/>
    </border>
    <border>
      <left style="thin">
        <color auto="1"/>
      </left>
      <right style="thin">
        <color auto="1"/>
      </right>
      <top style="thin">
        <color auto="1"/>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indexed="64"/>
      </left>
      <right/>
      <top style="thin">
        <color rgb="FF000000"/>
      </top>
      <bottom style="thin">
        <color rgb="FF000000"/>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style="medium">
        <color indexed="64"/>
      </right>
      <top style="medium">
        <color indexed="64"/>
      </top>
      <bottom style="thin">
        <color indexed="64"/>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rgb="FF000000"/>
      </left>
      <right style="thin">
        <color rgb="FF000000"/>
      </right>
      <top style="thin">
        <color rgb="FF000000"/>
      </top>
      <bottom/>
      <diagonal/>
    </border>
    <border>
      <left style="thin">
        <color indexed="64"/>
      </left>
      <right/>
      <top style="thin">
        <color indexed="64"/>
      </top>
      <bottom style="thin">
        <color indexed="64"/>
      </bottom>
      <diagonal/>
    </border>
    <border>
      <left style="medium">
        <color indexed="64"/>
      </left>
      <right/>
      <top style="thin">
        <color indexed="64"/>
      </top>
      <bottom/>
      <diagonal/>
    </border>
    <border>
      <left style="thin">
        <color auto="1"/>
      </left>
      <right style="thin">
        <color auto="1"/>
      </right>
      <top/>
      <bottom/>
      <diagonal/>
    </border>
    <border>
      <left/>
      <right style="thin">
        <color auto="1"/>
      </right>
      <top style="thin">
        <color rgb="FF000000"/>
      </top>
      <bottom style="thin">
        <color rgb="FF000000"/>
      </bottom>
      <diagonal/>
    </border>
    <border>
      <left style="thin">
        <color auto="1"/>
      </left>
      <right style="thin">
        <color auto="1"/>
      </right>
      <top style="medium">
        <color auto="1"/>
      </top>
      <bottom style="thin">
        <color auto="1"/>
      </bottom>
      <diagonal/>
    </border>
    <border>
      <left style="thin">
        <color auto="1"/>
      </left>
      <right style="thin">
        <color auto="1"/>
      </right>
      <top/>
      <bottom style="thin">
        <color auto="1"/>
      </bottom>
      <diagonal/>
    </border>
  </borders>
  <cellStyleXfs count="3">
    <xf numFmtId="0" fontId="0" fillId="0" borderId="0"/>
    <xf numFmtId="0" fontId="1" fillId="0" borderId="0"/>
    <xf numFmtId="0" fontId="16" fillId="0" borderId="0"/>
  </cellStyleXfs>
  <cellXfs count="356">
    <xf numFmtId="0" fontId="0" fillId="0" borderId="0" xfId="0"/>
    <xf numFmtId="0" fontId="0" fillId="0" borderId="0" xfId="0" applyAlignment="1">
      <alignment horizontal="center"/>
    </xf>
    <xf numFmtId="166" fontId="0" fillId="0" borderId="0" xfId="0" applyNumberFormat="1" applyAlignment="1">
      <alignment horizontal="center"/>
    </xf>
    <xf numFmtId="0" fontId="0" fillId="0" borderId="0" xfId="0" applyAlignment="1">
      <alignment horizontal="left"/>
    </xf>
    <xf numFmtId="168" fontId="0" fillId="0" borderId="0" xfId="0" applyNumberFormat="1" applyAlignment="1">
      <alignment horizontal="center"/>
    </xf>
    <xf numFmtId="0" fontId="0" fillId="3" borderId="0" xfId="0" applyFill="1"/>
    <xf numFmtId="0" fontId="0" fillId="3" borderId="0" xfId="0" applyFill="1" applyAlignment="1">
      <alignment horizontal="center"/>
    </xf>
    <xf numFmtId="168" fontId="0" fillId="0" borderId="0" xfId="0" applyNumberFormat="1"/>
    <xf numFmtId="1" fontId="0" fillId="0" borderId="0" xfId="0" applyNumberFormat="1" applyAlignment="1">
      <alignment horizontal="center"/>
    </xf>
    <xf numFmtId="165" fontId="7" fillId="0" borderId="0" xfId="1" applyNumberFormat="1" applyFont="1" applyAlignment="1" applyProtection="1">
      <alignment horizontal="center" vertical="center"/>
      <protection locked="0"/>
    </xf>
    <xf numFmtId="0" fontId="2" fillId="2" borderId="0" xfId="1" applyFont="1" applyFill="1" applyAlignment="1" applyProtection="1">
      <alignment horizontal="center" vertical="center"/>
      <protection hidden="1"/>
    </xf>
    <xf numFmtId="0" fontId="2" fillId="2" borderId="0" xfId="1" applyFont="1" applyFill="1" applyAlignment="1" applyProtection="1">
      <alignment vertical="center"/>
      <protection hidden="1"/>
    </xf>
    <xf numFmtId="0" fontId="2" fillId="0" borderId="0" xfId="1" applyFont="1" applyAlignment="1" applyProtection="1">
      <alignment vertical="center"/>
      <protection hidden="1"/>
    </xf>
    <xf numFmtId="0" fontId="5" fillId="0" borderId="3" xfId="1" applyFont="1" applyBorder="1" applyAlignment="1" applyProtection="1">
      <alignment vertical="center"/>
      <protection hidden="1"/>
    </xf>
    <xf numFmtId="0" fontId="4" fillId="0" borderId="5" xfId="1" applyFont="1" applyBorder="1" applyAlignment="1" applyProtection="1">
      <alignment horizontal="left" vertical="center"/>
      <protection hidden="1"/>
    </xf>
    <xf numFmtId="0" fontId="5" fillId="0" borderId="5" xfId="1" applyFont="1" applyBorder="1" applyAlignment="1" applyProtection="1">
      <alignment vertical="center"/>
      <protection hidden="1"/>
    </xf>
    <xf numFmtId="0" fontId="2" fillId="0" borderId="0" xfId="1" applyFont="1" applyAlignment="1" applyProtection="1">
      <alignment horizontal="center" vertical="center"/>
      <protection hidden="1"/>
    </xf>
    <xf numFmtId="0" fontId="2" fillId="3" borderId="0" xfId="1" applyFont="1" applyFill="1" applyAlignment="1" applyProtection="1">
      <alignment vertical="center"/>
      <protection hidden="1"/>
    </xf>
    <xf numFmtId="0" fontId="5" fillId="0" borderId="8" xfId="1" applyFont="1" applyBorder="1" applyAlignment="1" applyProtection="1">
      <alignment vertical="center"/>
      <protection hidden="1"/>
    </xf>
    <xf numFmtId="0" fontId="4" fillId="0" borderId="0" xfId="1" applyFont="1" applyAlignment="1" applyProtection="1">
      <alignment horizontal="left" vertical="center"/>
      <protection hidden="1"/>
    </xf>
    <xf numFmtId="0" fontId="5" fillId="0" borderId="0" xfId="1" applyFont="1" applyAlignment="1" applyProtection="1">
      <alignment vertical="center"/>
      <protection hidden="1"/>
    </xf>
    <xf numFmtId="0" fontId="6" fillId="0" borderId="0" xfId="1" applyFont="1" applyAlignment="1" applyProtection="1">
      <alignment horizontal="center" vertical="center"/>
      <protection hidden="1"/>
    </xf>
    <xf numFmtId="0" fontId="6" fillId="0" borderId="0" xfId="1" applyFont="1" applyAlignment="1" applyProtection="1">
      <alignment vertical="center"/>
      <protection hidden="1"/>
    </xf>
    <xf numFmtId="0" fontId="5" fillId="0" borderId="0" xfId="1" applyFont="1" applyAlignment="1" applyProtection="1">
      <alignment horizontal="center" vertical="center"/>
      <protection hidden="1"/>
    </xf>
    <xf numFmtId="0" fontId="9" fillId="0" borderId="0" xfId="1" applyFont="1" applyAlignment="1" applyProtection="1">
      <alignment horizontal="right" vertical="center"/>
      <protection hidden="1"/>
    </xf>
    <xf numFmtId="0" fontId="4" fillId="0" borderId="0" xfId="1" applyFont="1" applyAlignment="1" applyProtection="1">
      <alignment horizontal="right" vertical="center"/>
      <protection hidden="1"/>
    </xf>
    <xf numFmtId="165" fontId="4" fillId="0" borderId="0" xfId="1" applyNumberFormat="1" applyFont="1" applyAlignment="1" applyProtection="1">
      <alignment horizontal="center" vertical="center"/>
      <protection hidden="1"/>
    </xf>
    <xf numFmtId="0" fontId="2" fillId="0" borderId="12" xfId="1" applyFont="1" applyBorder="1" applyAlignment="1" applyProtection="1">
      <alignment horizontal="center" vertical="center"/>
      <protection hidden="1"/>
    </xf>
    <xf numFmtId="0" fontId="2" fillId="0" borderId="18" xfId="1" applyFont="1" applyBorder="1" applyAlignment="1" applyProtection="1">
      <alignment vertical="center"/>
      <protection hidden="1"/>
    </xf>
    <xf numFmtId="0" fontId="4" fillId="0" borderId="20" xfId="1" applyFont="1" applyBorder="1" applyAlignment="1" applyProtection="1">
      <alignment horizontal="center" vertical="center"/>
      <protection hidden="1"/>
    </xf>
    <xf numFmtId="0" fontId="2" fillId="4" borderId="1" xfId="1" applyFont="1" applyFill="1" applyBorder="1" applyAlignment="1" applyProtection="1">
      <alignment horizontal="center" vertical="center"/>
      <protection hidden="1"/>
    </xf>
    <xf numFmtId="0" fontId="2" fillId="4" borderId="1" xfId="1" applyFont="1" applyFill="1" applyBorder="1" applyAlignment="1" applyProtection="1">
      <alignment horizontal="center" vertical="center" wrapText="1"/>
      <protection hidden="1"/>
    </xf>
    <xf numFmtId="0" fontId="8" fillId="0" borderId="22" xfId="1" applyFont="1" applyBorder="1" applyAlignment="1" applyProtection="1">
      <alignment horizontal="center" vertical="center" wrapText="1"/>
      <protection hidden="1"/>
    </xf>
    <xf numFmtId="0" fontId="4" fillId="0" borderId="15" xfId="1" applyFont="1" applyBorder="1" applyAlignment="1" applyProtection="1">
      <alignment horizontal="center" vertical="center"/>
      <protection hidden="1"/>
    </xf>
    <xf numFmtId="0" fontId="2" fillId="3" borderId="0" xfId="1" applyFont="1" applyFill="1" applyAlignment="1" applyProtection="1">
      <alignment horizontal="center" vertical="center"/>
      <protection hidden="1"/>
    </xf>
    <xf numFmtId="0" fontId="2" fillId="3" borderId="21" xfId="1" applyFont="1" applyFill="1" applyBorder="1" applyAlignment="1" applyProtection="1">
      <alignment horizontal="center" vertical="center"/>
      <protection hidden="1"/>
    </xf>
    <xf numFmtId="0" fontId="2" fillId="3" borderId="12" xfId="1" applyFont="1" applyFill="1" applyBorder="1" applyAlignment="1" applyProtection="1">
      <alignment horizontal="center" vertical="center"/>
      <protection hidden="1"/>
    </xf>
    <xf numFmtId="0" fontId="2" fillId="3" borderId="17" xfId="1" applyFont="1" applyFill="1" applyBorder="1" applyAlignment="1" applyProtection="1">
      <alignment horizontal="center" vertical="center"/>
      <protection hidden="1"/>
    </xf>
    <xf numFmtId="0" fontId="2" fillId="3" borderId="17" xfId="1" applyFont="1" applyFill="1" applyBorder="1" applyAlignment="1" applyProtection="1">
      <alignment vertical="center"/>
      <protection hidden="1"/>
    </xf>
    <xf numFmtId="167" fontId="2" fillId="3" borderId="17" xfId="1" applyNumberFormat="1" applyFont="1" applyFill="1" applyBorder="1" applyAlignment="1" applyProtection="1">
      <alignment vertical="center"/>
      <protection hidden="1"/>
    </xf>
    <xf numFmtId="165" fontId="2" fillId="0" borderId="12" xfId="1" applyNumberFormat="1" applyFont="1" applyBorder="1" applyAlignment="1" applyProtection="1">
      <alignment horizontal="center" vertical="center"/>
      <protection hidden="1"/>
    </xf>
    <xf numFmtId="165" fontId="2" fillId="0" borderId="0" xfId="1" applyNumberFormat="1" applyFont="1" applyAlignment="1" applyProtection="1">
      <alignment horizontal="center" vertical="center"/>
      <protection hidden="1"/>
    </xf>
    <xf numFmtId="165" fontId="7" fillId="0" borderId="0" xfId="1" applyNumberFormat="1" applyFont="1" applyAlignment="1" applyProtection="1">
      <alignment horizontal="center" vertical="center"/>
      <protection hidden="1"/>
    </xf>
    <xf numFmtId="0" fontId="2" fillId="0" borderId="21" xfId="1" applyFont="1" applyBorder="1" applyAlignment="1" applyProtection="1">
      <alignment horizontal="center" vertical="center"/>
      <protection hidden="1"/>
    </xf>
    <xf numFmtId="167" fontId="2" fillId="0" borderId="17" xfId="1" applyNumberFormat="1" applyFont="1" applyBorder="1" applyAlignment="1" applyProtection="1">
      <alignment vertical="center"/>
      <protection hidden="1"/>
    </xf>
    <xf numFmtId="165" fontId="2" fillId="0" borderId="23" xfId="1" applyNumberFormat="1" applyFont="1" applyBorder="1" applyAlignment="1" applyProtection="1">
      <alignment horizontal="center" vertical="center"/>
      <protection hidden="1"/>
    </xf>
    <xf numFmtId="165" fontId="2" fillId="0" borderId="1" xfId="1" applyNumberFormat="1" applyFont="1" applyBorder="1" applyAlignment="1" applyProtection="1">
      <alignment horizontal="center" vertical="center"/>
      <protection hidden="1"/>
    </xf>
    <xf numFmtId="165" fontId="2" fillId="5" borderId="0" xfId="1" applyNumberFormat="1" applyFont="1" applyFill="1" applyAlignment="1" applyProtection="1">
      <alignment horizontal="center" vertical="center"/>
      <protection hidden="1"/>
    </xf>
    <xf numFmtId="0" fontId="2" fillId="5" borderId="0" xfId="1" applyFont="1" applyFill="1" applyAlignment="1" applyProtection="1">
      <alignment horizontal="center" vertical="center"/>
      <protection hidden="1"/>
    </xf>
    <xf numFmtId="0" fontId="2" fillId="5" borderId="0" xfId="1" applyFont="1" applyFill="1" applyAlignment="1" applyProtection="1">
      <alignment vertical="center"/>
      <protection hidden="1"/>
    </xf>
    <xf numFmtId="0" fontId="2" fillId="0" borderId="4" xfId="1" applyFont="1" applyBorder="1" applyAlignment="1" applyProtection="1">
      <alignment vertical="center"/>
      <protection locked="0"/>
    </xf>
    <xf numFmtId="165" fontId="2" fillId="0" borderId="0" xfId="1" applyNumberFormat="1" applyFont="1" applyAlignment="1" applyProtection="1">
      <alignment horizontal="center" vertical="center"/>
      <protection locked="0"/>
    </xf>
    <xf numFmtId="0" fontId="2" fillId="0" borderId="0" xfId="1" applyFont="1" applyAlignment="1" applyProtection="1">
      <alignment horizontal="center" vertical="center"/>
      <protection locked="0"/>
    </xf>
    <xf numFmtId="0" fontId="12" fillId="0" borderId="0" xfId="1" applyFont="1" applyAlignment="1" applyProtection="1">
      <alignment horizontal="left" vertical="center"/>
      <protection hidden="1"/>
    </xf>
    <xf numFmtId="166" fontId="6" fillId="0" borderId="0" xfId="1" applyNumberFormat="1" applyFont="1" applyAlignment="1" applyProtection="1">
      <alignment vertical="center"/>
      <protection hidden="1"/>
    </xf>
    <xf numFmtId="166" fontId="11" fillId="0" borderId="0" xfId="0" applyNumberFormat="1" applyFont="1" applyAlignment="1" applyProtection="1">
      <alignment horizontal="center"/>
      <protection hidden="1"/>
    </xf>
    <xf numFmtId="0" fontId="13" fillId="0" borderId="0" xfId="1" applyFont="1" applyAlignment="1" applyProtection="1">
      <alignment vertical="center"/>
      <protection hidden="1"/>
    </xf>
    <xf numFmtId="0" fontId="4" fillId="0" borderId="0" xfId="1" applyFont="1" applyAlignment="1" applyProtection="1">
      <alignment horizontal="centerContinuous" vertical="center"/>
      <protection hidden="1"/>
    </xf>
    <xf numFmtId="0" fontId="4" fillId="0" borderId="17" xfId="1" applyFont="1" applyBorder="1" applyAlignment="1" applyProtection="1">
      <alignment horizontal="centerContinuous" vertical="center"/>
      <protection hidden="1"/>
    </xf>
    <xf numFmtId="0" fontId="0" fillId="6" borderId="0" xfId="0" applyFill="1"/>
    <xf numFmtId="0" fontId="0" fillId="7" borderId="0" xfId="0" applyFill="1"/>
    <xf numFmtId="164" fontId="0" fillId="7" borderId="0" xfId="0" quotePrefix="1" applyNumberFormat="1" applyFill="1"/>
    <xf numFmtId="0" fontId="0" fillId="8" borderId="0" xfId="0" applyFill="1"/>
    <xf numFmtId="0" fontId="0" fillId="8" borderId="0" xfId="0" quotePrefix="1" applyFill="1"/>
    <xf numFmtId="0" fontId="0" fillId="9" borderId="0" xfId="0" applyFill="1"/>
    <xf numFmtId="0" fontId="0" fillId="9" borderId="0" xfId="0" quotePrefix="1" applyFill="1"/>
    <xf numFmtId="164" fontId="0" fillId="9" borderId="0" xfId="0" quotePrefix="1" applyNumberFormat="1" applyFill="1"/>
    <xf numFmtId="0" fontId="2" fillId="3" borderId="24" xfId="1" applyFont="1" applyFill="1" applyBorder="1" applyAlignment="1" applyProtection="1">
      <alignment vertical="center"/>
      <protection hidden="1"/>
    </xf>
    <xf numFmtId="0" fontId="2" fillId="3" borderId="14" xfId="1" applyFont="1" applyFill="1" applyBorder="1" applyAlignment="1" applyProtection="1">
      <alignment vertical="center"/>
      <protection hidden="1"/>
    </xf>
    <xf numFmtId="0" fontId="14" fillId="3" borderId="14" xfId="1" applyFont="1" applyFill="1" applyBorder="1" applyAlignment="1" applyProtection="1">
      <alignment horizontal="right" vertical="center"/>
      <protection hidden="1"/>
    </xf>
    <xf numFmtId="0" fontId="2" fillId="3" borderId="25" xfId="1" applyFont="1" applyFill="1" applyBorder="1" applyAlignment="1" applyProtection="1">
      <alignment vertical="center"/>
      <protection hidden="1"/>
    </xf>
    <xf numFmtId="0" fontId="14" fillId="3" borderId="0" xfId="1" applyFont="1" applyFill="1" applyAlignment="1" applyProtection="1">
      <alignment horizontal="right" vertical="center"/>
      <protection hidden="1"/>
    </xf>
    <xf numFmtId="0" fontId="14" fillId="3" borderId="0" xfId="1" applyFont="1" applyFill="1" applyAlignment="1" applyProtection="1">
      <alignment horizontal="center" vertical="center"/>
      <protection hidden="1"/>
    </xf>
    <xf numFmtId="0" fontId="2" fillId="0" borderId="26" xfId="1" applyFont="1" applyBorder="1" applyAlignment="1" applyProtection="1">
      <alignment horizontal="center" vertical="center"/>
      <protection locked="0"/>
    </xf>
    <xf numFmtId="0" fontId="2" fillId="0" borderId="0" xfId="1" applyFont="1" applyAlignment="1" applyProtection="1">
      <alignment horizontal="right" vertical="center"/>
      <protection hidden="1"/>
    </xf>
    <xf numFmtId="167" fontId="2" fillId="0" borderId="0" xfId="1" applyNumberFormat="1" applyFont="1" applyAlignment="1" applyProtection="1">
      <alignment vertical="center"/>
      <protection hidden="1"/>
    </xf>
    <xf numFmtId="167" fontId="4" fillId="0" borderId="0" xfId="1" applyNumberFormat="1" applyFont="1" applyAlignment="1" applyProtection="1">
      <alignment vertical="center"/>
      <protection hidden="1"/>
    </xf>
    <xf numFmtId="0" fontId="15" fillId="0" borderId="0" xfId="0" applyFont="1"/>
    <xf numFmtId="0" fontId="2" fillId="0" borderId="0" xfId="1" applyFont="1" applyAlignment="1" applyProtection="1">
      <alignment horizontal="center" vertical="center"/>
      <protection locked="0" hidden="1"/>
    </xf>
    <xf numFmtId="0" fontId="2" fillId="0" borderId="0" xfId="1" applyFont="1" applyAlignment="1" applyProtection="1">
      <alignment vertical="center"/>
      <protection locked="0" hidden="1"/>
    </xf>
    <xf numFmtId="0" fontId="9" fillId="0" borderId="11" xfId="1" applyFont="1" applyBorder="1" applyAlignment="1" applyProtection="1">
      <alignment horizontal="center" vertical="center"/>
      <protection hidden="1"/>
    </xf>
    <xf numFmtId="0" fontId="9" fillId="0" borderId="11" xfId="1" applyFont="1" applyBorder="1" applyAlignment="1" applyProtection="1">
      <alignment horizontal="center" vertical="center"/>
      <protection locked="0"/>
    </xf>
    <xf numFmtId="0" fontId="17" fillId="0" borderId="0" xfId="2" applyFont="1" applyAlignment="1" applyProtection="1">
      <alignment horizontal="left" vertical="top"/>
      <protection hidden="1"/>
    </xf>
    <xf numFmtId="0" fontId="16" fillId="0" borderId="0" xfId="2" applyAlignment="1" applyProtection="1">
      <alignment horizontal="left" vertical="top"/>
      <protection hidden="1"/>
    </xf>
    <xf numFmtId="0" fontId="18" fillId="0" borderId="0" xfId="2" applyFont="1" applyAlignment="1" applyProtection="1">
      <alignment horizontal="left" vertical="top"/>
      <protection hidden="1"/>
    </xf>
    <xf numFmtId="0" fontId="16" fillId="0" borderId="27" xfId="2" applyBorder="1" applyAlignment="1" applyProtection="1">
      <alignment horizontal="left" vertical="top"/>
      <protection hidden="1"/>
    </xf>
    <xf numFmtId="0" fontId="19" fillId="0" borderId="27" xfId="2" applyFont="1" applyBorder="1" applyAlignment="1" applyProtection="1">
      <alignment horizontal="left" vertical="center" wrapText="1"/>
      <protection hidden="1"/>
    </xf>
    <xf numFmtId="0" fontId="17" fillId="0" borderId="27" xfId="2" applyFont="1" applyBorder="1" applyAlignment="1" applyProtection="1">
      <alignment vertical="center" wrapText="1"/>
      <protection hidden="1"/>
    </xf>
    <xf numFmtId="0" fontId="17" fillId="0" borderId="33" xfId="2" applyFont="1" applyBorder="1" applyAlignment="1" applyProtection="1">
      <alignment vertical="center" wrapText="1"/>
      <protection hidden="1"/>
    </xf>
    <xf numFmtId="0" fontId="19" fillId="0" borderId="28" xfId="2" applyFont="1" applyBorder="1" applyAlignment="1" applyProtection="1">
      <alignment horizontal="left" vertical="center" wrapText="1"/>
      <protection hidden="1"/>
    </xf>
    <xf numFmtId="0" fontId="17" fillId="0" borderId="34" xfId="2" applyFont="1" applyBorder="1" applyAlignment="1" applyProtection="1">
      <alignment wrapText="1"/>
      <protection hidden="1"/>
    </xf>
    <xf numFmtId="0" fontId="17" fillId="0" borderId="0" xfId="2" applyFont="1" applyAlignment="1" applyProtection="1">
      <alignment vertical="top" wrapText="1"/>
      <protection hidden="1"/>
    </xf>
    <xf numFmtId="0" fontId="17" fillId="0" borderId="35" xfId="2" applyFont="1" applyBorder="1" applyAlignment="1" applyProtection="1">
      <alignment vertical="top" wrapText="1"/>
      <protection hidden="1"/>
    </xf>
    <xf numFmtId="0" fontId="16" fillId="0" borderId="0" xfId="2" applyAlignment="1" applyProtection="1">
      <alignment horizontal="left" vertical="top" wrapText="1"/>
      <protection hidden="1"/>
    </xf>
    <xf numFmtId="0" fontId="20" fillId="0" borderId="0" xfId="2" applyFont="1" applyAlignment="1" applyProtection="1">
      <alignment horizontal="left" vertical="top"/>
      <protection hidden="1"/>
    </xf>
    <xf numFmtId="0" fontId="21" fillId="0" borderId="0" xfId="2" applyFont="1" applyAlignment="1" applyProtection="1">
      <alignment horizontal="left" vertical="top"/>
      <protection hidden="1"/>
    </xf>
    <xf numFmtId="0" fontId="17" fillId="0" borderId="39" xfId="2" applyFont="1" applyBorder="1" applyAlignment="1" applyProtection="1">
      <alignment horizontal="center" vertical="top" wrapText="1"/>
      <protection hidden="1"/>
    </xf>
    <xf numFmtId="0" fontId="21" fillId="0" borderId="0" xfId="2" applyFont="1" applyAlignment="1" applyProtection="1">
      <alignment horizontal="left"/>
      <protection hidden="1"/>
    </xf>
    <xf numFmtId="0" fontId="24" fillId="0" borderId="0" xfId="2" applyFont="1" applyAlignment="1" applyProtection="1">
      <alignment horizontal="left"/>
      <protection hidden="1"/>
    </xf>
    <xf numFmtId="0" fontId="20" fillId="0" borderId="0" xfId="2" applyFont="1" applyAlignment="1" applyProtection="1">
      <alignment horizontal="left"/>
      <protection hidden="1"/>
    </xf>
    <xf numFmtId="0" fontId="16" fillId="0" borderId="0" xfId="2" applyAlignment="1" applyProtection="1">
      <alignment horizontal="left" wrapText="1"/>
      <protection hidden="1"/>
    </xf>
    <xf numFmtId="0" fontId="24" fillId="0" borderId="0" xfId="2" applyFont="1" applyAlignment="1" applyProtection="1">
      <alignment horizontal="left" vertical="top"/>
      <protection hidden="1"/>
    </xf>
    <xf numFmtId="0" fontId="25" fillId="0" borderId="0" xfId="2" applyFont="1" applyAlignment="1" applyProtection="1">
      <alignment horizontal="left" vertical="center"/>
      <protection hidden="1"/>
    </xf>
    <xf numFmtId="0" fontId="17" fillId="11" borderId="39" xfId="2" applyFont="1" applyFill="1" applyBorder="1" applyAlignment="1" applyProtection="1">
      <alignment horizontal="left" vertical="top" wrapText="1"/>
      <protection hidden="1"/>
    </xf>
    <xf numFmtId="0" fontId="20" fillId="0" borderId="0" xfId="2" applyFont="1" applyAlignment="1" applyProtection="1">
      <alignment horizontal="right"/>
      <protection hidden="1"/>
    </xf>
    <xf numFmtId="0" fontId="2" fillId="3" borderId="3" xfId="1" applyFont="1" applyFill="1" applyBorder="1" applyAlignment="1" applyProtection="1">
      <alignment vertical="center"/>
      <protection hidden="1"/>
    </xf>
    <xf numFmtId="0" fontId="4" fillId="3" borderId="3" xfId="1" applyFont="1" applyFill="1" applyBorder="1" applyAlignment="1" applyProtection="1">
      <alignment horizontal="right" vertical="center"/>
      <protection hidden="1"/>
    </xf>
    <xf numFmtId="0" fontId="2" fillId="0" borderId="41" xfId="1" applyFont="1" applyBorder="1" applyAlignment="1" applyProtection="1">
      <alignment horizontal="center" vertical="center"/>
      <protection hidden="1"/>
    </xf>
    <xf numFmtId="0" fontId="30" fillId="0" borderId="0" xfId="1" applyFont="1" applyAlignment="1" applyProtection="1">
      <alignment horizontal="center" vertical="center"/>
      <protection hidden="1"/>
    </xf>
    <xf numFmtId="0" fontId="2" fillId="0" borderId="0" xfId="1" quotePrefix="1" applyFont="1" applyAlignment="1" applyProtection="1">
      <alignment vertical="center"/>
      <protection hidden="1"/>
    </xf>
    <xf numFmtId="167" fontId="30" fillId="0" borderId="0" xfId="1" applyNumberFormat="1" applyFont="1" applyAlignment="1" applyProtection="1">
      <alignment vertical="center"/>
      <protection hidden="1"/>
    </xf>
    <xf numFmtId="0" fontId="30" fillId="0" borderId="0" xfId="1" applyFont="1" applyAlignment="1" applyProtection="1">
      <alignment vertical="center"/>
      <protection hidden="1"/>
    </xf>
    <xf numFmtId="0" fontId="31" fillId="0" borderId="0" xfId="1" applyFont="1" applyAlignment="1" applyProtection="1">
      <alignment vertical="center"/>
      <protection hidden="1"/>
    </xf>
    <xf numFmtId="45" fontId="30" fillId="0" borderId="0" xfId="1" applyNumberFormat="1" applyFont="1" applyAlignment="1" applyProtection="1">
      <alignment vertical="center"/>
      <protection hidden="1"/>
    </xf>
    <xf numFmtId="166" fontId="30" fillId="0" borderId="0" xfId="1" applyNumberFormat="1" applyFont="1" applyAlignment="1" applyProtection="1">
      <alignment vertical="center"/>
      <protection hidden="1"/>
    </xf>
    <xf numFmtId="1" fontId="30" fillId="0" borderId="0" xfId="1" applyNumberFormat="1" applyFont="1" applyAlignment="1" applyProtection="1">
      <alignment vertical="center"/>
      <protection hidden="1"/>
    </xf>
    <xf numFmtId="167" fontId="32" fillId="0" borderId="0" xfId="1" applyNumberFormat="1" applyFont="1" applyAlignment="1" applyProtection="1">
      <alignment horizontal="center" vertical="center"/>
      <protection hidden="1"/>
    </xf>
    <xf numFmtId="166" fontId="28" fillId="0" borderId="0" xfId="0" applyNumberFormat="1" applyFont="1" applyAlignment="1" applyProtection="1">
      <alignment horizontal="center"/>
      <protection hidden="1"/>
    </xf>
    <xf numFmtId="0" fontId="33" fillId="0" borderId="0" xfId="1" applyFont="1" applyAlignment="1" applyProtection="1">
      <alignment horizontal="center" vertical="center"/>
      <protection hidden="1"/>
    </xf>
    <xf numFmtId="0" fontId="29" fillId="0" borderId="0" xfId="1" applyFont="1" applyAlignment="1" applyProtection="1">
      <alignment horizontal="center" vertical="center"/>
      <protection hidden="1"/>
    </xf>
    <xf numFmtId="166" fontId="30" fillId="0" borderId="0" xfId="1" applyNumberFormat="1" applyFont="1" applyAlignment="1" applyProtection="1">
      <alignment horizontal="center" vertical="center"/>
      <protection hidden="1"/>
    </xf>
    <xf numFmtId="167" fontId="29" fillId="0" borderId="0" xfId="1" applyNumberFormat="1" applyFont="1" applyAlignment="1" applyProtection="1">
      <alignment vertical="center"/>
      <protection hidden="1"/>
    </xf>
    <xf numFmtId="45" fontId="30" fillId="0" borderId="0" xfId="1" applyNumberFormat="1" applyFont="1" applyAlignment="1" applyProtection="1">
      <alignment horizontal="center" vertical="center"/>
      <protection hidden="1"/>
    </xf>
    <xf numFmtId="0" fontId="30" fillId="5" borderId="0" xfId="1" applyFont="1" applyFill="1" applyAlignment="1" applyProtection="1">
      <alignment vertical="center"/>
      <protection hidden="1"/>
    </xf>
    <xf numFmtId="0" fontId="34" fillId="0" borderId="0" xfId="0" applyFont="1"/>
    <xf numFmtId="0" fontId="7" fillId="0" borderId="0" xfId="1" applyFont="1" applyAlignment="1" applyProtection="1">
      <alignment horizontal="center" vertical="center"/>
      <protection hidden="1"/>
    </xf>
    <xf numFmtId="0" fontId="7" fillId="0" borderId="0" xfId="1" applyFont="1" applyAlignment="1" applyProtection="1">
      <alignment vertical="center"/>
      <protection hidden="1"/>
    </xf>
    <xf numFmtId="0" fontId="7" fillId="0" borderId="0" xfId="1" applyFont="1" applyAlignment="1" applyProtection="1">
      <alignment horizontal="center" vertical="center"/>
      <protection locked="0" hidden="1"/>
    </xf>
    <xf numFmtId="0" fontId="0" fillId="7" borderId="0" xfId="0" applyFill="1" applyAlignment="1">
      <alignment horizontal="left"/>
    </xf>
    <xf numFmtId="0" fontId="22" fillId="0" borderId="39" xfId="2" applyFont="1" applyBorder="1" applyAlignment="1" applyProtection="1">
      <alignment horizontal="center" vertical="center" wrapText="1"/>
      <protection hidden="1"/>
    </xf>
    <xf numFmtId="0" fontId="4" fillId="0" borderId="0" xfId="1" applyFont="1" applyAlignment="1" applyProtection="1">
      <alignment horizontal="center" vertical="center" shrinkToFit="1"/>
      <protection locked="0"/>
    </xf>
    <xf numFmtId="0" fontId="2" fillId="3" borderId="0" xfId="1" applyFont="1" applyFill="1" applyAlignment="1" applyProtection="1">
      <alignment vertical="center" shrinkToFit="1"/>
      <protection hidden="1"/>
    </xf>
    <xf numFmtId="0" fontId="37" fillId="0" borderId="0" xfId="0" applyFont="1"/>
    <xf numFmtId="0" fontId="38" fillId="0" borderId="1" xfId="1" applyFont="1" applyBorder="1" applyAlignment="1" applyProtection="1">
      <alignment horizontal="right" vertical="center"/>
      <protection hidden="1"/>
    </xf>
    <xf numFmtId="0" fontId="38" fillId="0" borderId="23" xfId="1" applyFont="1" applyBorder="1" applyAlignment="1" applyProtection="1">
      <alignment horizontal="right" vertical="center"/>
      <protection hidden="1"/>
    </xf>
    <xf numFmtId="0" fontId="30" fillId="0" borderId="0" xfId="1" applyFont="1" applyAlignment="1" applyProtection="1">
      <alignment horizontal="left" vertical="center"/>
      <protection hidden="1"/>
    </xf>
    <xf numFmtId="164" fontId="4" fillId="0" borderId="0" xfId="1" applyNumberFormat="1" applyFont="1" applyAlignment="1" applyProtection="1">
      <alignment horizontal="center" vertical="center" shrinkToFit="1"/>
      <protection locked="0"/>
    </xf>
    <xf numFmtId="0" fontId="4" fillId="0" borderId="0" xfId="1" quotePrefix="1" applyFont="1" applyAlignment="1" applyProtection="1">
      <alignment horizontal="center" vertical="center" shrinkToFit="1"/>
      <protection locked="0"/>
    </xf>
    <xf numFmtId="0" fontId="31" fillId="0" borderId="0" xfId="1" applyFont="1" applyAlignment="1" applyProtection="1">
      <alignment horizontal="left" vertical="center"/>
      <protection hidden="1"/>
    </xf>
    <xf numFmtId="167" fontId="2" fillId="2" borderId="0" xfId="1" applyNumberFormat="1" applyFont="1" applyFill="1" applyAlignment="1" applyProtection="1">
      <alignment vertical="center"/>
      <protection hidden="1"/>
    </xf>
    <xf numFmtId="14" fontId="2" fillId="0" borderId="0" xfId="1" applyNumberFormat="1" applyFont="1" applyAlignment="1" applyProtection="1">
      <alignment horizontal="centerContinuous" vertical="center"/>
      <protection hidden="1"/>
    </xf>
    <xf numFmtId="0" fontId="2" fillId="0" borderId="0" xfId="1" applyFont="1" applyAlignment="1" applyProtection="1">
      <alignment horizontal="centerContinuous" vertical="center"/>
      <protection hidden="1"/>
    </xf>
    <xf numFmtId="0" fontId="6" fillId="2" borderId="0" xfId="1" applyFont="1" applyFill="1" applyAlignment="1" applyProtection="1">
      <alignment vertical="center"/>
      <protection locked="0"/>
    </xf>
    <xf numFmtId="0" fontId="2" fillId="0" borderId="0" xfId="1" applyFont="1" applyAlignment="1" applyProtection="1">
      <alignment horizontal="left" vertical="center"/>
      <protection hidden="1"/>
    </xf>
    <xf numFmtId="167" fontId="30" fillId="12" borderId="0" xfId="1" applyNumberFormat="1" applyFont="1" applyFill="1" applyAlignment="1" applyProtection="1">
      <alignment vertical="center"/>
      <protection hidden="1"/>
    </xf>
    <xf numFmtId="0" fontId="31" fillId="12" borderId="0" xfId="1" applyFont="1" applyFill="1" applyAlignment="1" applyProtection="1">
      <alignment horizontal="left" vertical="center"/>
      <protection hidden="1"/>
    </xf>
    <xf numFmtId="0" fontId="30" fillId="12" borderId="0" xfId="1" applyFont="1" applyFill="1" applyAlignment="1" applyProtection="1">
      <alignment vertical="center"/>
      <protection hidden="1"/>
    </xf>
    <xf numFmtId="0" fontId="30" fillId="12" borderId="0" xfId="1" applyFont="1" applyFill="1" applyAlignment="1" applyProtection="1">
      <alignment horizontal="center" vertical="center"/>
      <protection hidden="1"/>
    </xf>
    <xf numFmtId="0" fontId="2" fillId="12" borderId="0" xfId="1" applyFont="1" applyFill="1" applyAlignment="1" applyProtection="1">
      <alignment vertical="center"/>
      <protection hidden="1"/>
    </xf>
    <xf numFmtId="0" fontId="39" fillId="0" borderId="0" xfId="2" applyFont="1" applyAlignment="1" applyProtection="1">
      <alignment horizontal="left" vertical="top"/>
      <protection hidden="1"/>
    </xf>
    <xf numFmtId="0" fontId="40" fillId="0" borderId="0" xfId="2" applyFont="1" applyAlignment="1" applyProtection="1">
      <alignment horizontal="left" vertical="top"/>
      <protection hidden="1"/>
    </xf>
    <xf numFmtId="0" fontId="40" fillId="0" borderId="0" xfId="2" applyFont="1" applyAlignment="1" applyProtection="1">
      <alignment horizontal="left"/>
      <protection hidden="1"/>
    </xf>
    <xf numFmtId="0" fontId="41" fillId="0" borderId="0" xfId="2" applyFont="1" applyAlignment="1" applyProtection="1">
      <alignment horizontal="left" vertical="top"/>
      <protection hidden="1"/>
    </xf>
    <xf numFmtId="0" fontId="22" fillId="0" borderId="47" xfId="2" applyFont="1" applyBorder="1" applyAlignment="1" applyProtection="1">
      <alignment horizontal="center" vertical="center" wrapText="1"/>
      <protection hidden="1"/>
    </xf>
    <xf numFmtId="0" fontId="22" fillId="0" borderId="31" xfId="2" applyFont="1" applyBorder="1" applyAlignment="1" applyProtection="1">
      <alignment horizontal="center" vertical="center" shrinkToFit="1"/>
      <protection hidden="1"/>
    </xf>
    <xf numFmtId="0" fontId="28" fillId="0" borderId="0" xfId="0" applyFont="1"/>
    <xf numFmtId="2" fontId="0" fillId="0" borderId="0" xfId="0" applyNumberFormat="1"/>
    <xf numFmtId="0" fontId="46" fillId="0" borderId="0" xfId="0" applyFont="1"/>
    <xf numFmtId="0" fontId="15" fillId="13" borderId="0" xfId="0" applyFont="1" applyFill="1"/>
    <xf numFmtId="0" fontId="4" fillId="14" borderId="41" xfId="0" applyFont="1" applyFill="1" applyBorder="1" applyAlignment="1">
      <alignment horizontal="center"/>
    </xf>
    <xf numFmtId="0" fontId="15" fillId="13" borderId="41" xfId="0" applyFont="1" applyFill="1" applyBorder="1"/>
    <xf numFmtId="167" fontId="8" fillId="13" borderId="41" xfId="0" applyNumberFormat="1" applyFont="1" applyFill="1" applyBorder="1"/>
    <xf numFmtId="167" fontId="15" fillId="13" borderId="41" xfId="0" applyNumberFormat="1" applyFont="1" applyFill="1" applyBorder="1"/>
    <xf numFmtId="0" fontId="8" fillId="13" borderId="41" xfId="0" applyFont="1" applyFill="1" applyBorder="1" applyAlignment="1">
      <alignment horizontal="center"/>
    </xf>
    <xf numFmtId="167" fontId="48" fillId="13" borderId="41" xfId="0" applyNumberFormat="1" applyFont="1" applyFill="1" applyBorder="1" applyAlignment="1">
      <alignment horizontal="center"/>
    </xf>
    <xf numFmtId="0" fontId="4" fillId="14" borderId="41" xfId="0" applyFont="1" applyFill="1" applyBorder="1" applyAlignment="1">
      <alignment horizontal="center" wrapText="1"/>
    </xf>
    <xf numFmtId="0" fontId="0" fillId="0" borderId="41" xfId="0" applyBorder="1"/>
    <xf numFmtId="2" fontId="0" fillId="0" borderId="41" xfId="0" applyNumberFormat="1" applyBorder="1"/>
    <xf numFmtId="0" fontId="48" fillId="13" borderId="41" xfId="0" applyFont="1" applyFill="1" applyBorder="1" applyAlignment="1">
      <alignment horizontal="left"/>
    </xf>
    <xf numFmtId="0" fontId="15" fillId="13" borderId="41" xfId="0" applyFont="1" applyFill="1" applyBorder="1" applyAlignment="1">
      <alignment horizontal="left"/>
    </xf>
    <xf numFmtId="0" fontId="8" fillId="13" borderId="41" xfId="0" applyFont="1" applyFill="1" applyBorder="1" applyAlignment="1">
      <alignment horizontal="left"/>
    </xf>
    <xf numFmtId="0" fontId="4" fillId="14" borderId="41" xfId="0" applyFont="1" applyFill="1" applyBorder="1" applyAlignment="1">
      <alignment horizontal="left" wrapText="1"/>
    </xf>
    <xf numFmtId="167" fontId="8" fillId="13" borderId="41" xfId="0" applyNumberFormat="1" applyFont="1" applyFill="1" applyBorder="1" applyAlignment="1">
      <alignment horizontal="left"/>
    </xf>
    <xf numFmtId="167" fontId="48" fillId="13" borderId="41" xfId="0" applyNumberFormat="1" applyFont="1" applyFill="1" applyBorder="1" applyAlignment="1">
      <alignment horizontal="left"/>
    </xf>
    <xf numFmtId="0" fontId="15" fillId="13" borderId="0" xfId="0" applyFont="1" applyFill="1" applyAlignment="1">
      <alignment horizontal="center"/>
    </xf>
    <xf numFmtId="2" fontId="0" fillId="0" borderId="0" xfId="0" applyNumberFormat="1" applyAlignment="1">
      <alignment horizontal="center"/>
    </xf>
    <xf numFmtId="0" fontId="5" fillId="0" borderId="0" xfId="1" applyFont="1" applyAlignment="1" applyProtection="1">
      <alignment horizontal="center" vertical="center" shrinkToFit="1"/>
      <protection hidden="1"/>
    </xf>
    <xf numFmtId="0" fontId="2" fillId="4" borderId="0" xfId="1" applyFont="1" applyFill="1" applyAlignment="1" applyProtection="1">
      <alignment horizontal="center" vertical="center"/>
      <protection hidden="1"/>
    </xf>
    <xf numFmtId="0" fontId="30" fillId="0" borderId="41" xfId="1" applyFont="1" applyBorder="1" applyAlignment="1" applyProtection="1">
      <alignment horizontal="center" vertical="center"/>
      <protection hidden="1"/>
    </xf>
    <xf numFmtId="1" fontId="30" fillId="0" borderId="41" xfId="1" applyNumberFormat="1" applyFont="1" applyBorder="1" applyAlignment="1" applyProtection="1">
      <alignment horizontal="left" vertical="center"/>
      <protection hidden="1"/>
    </xf>
    <xf numFmtId="0" fontId="30" fillId="5" borderId="0" xfId="1" applyFont="1" applyFill="1" applyAlignment="1" applyProtection="1">
      <alignment horizontal="center" vertical="center"/>
      <protection hidden="1"/>
    </xf>
    <xf numFmtId="0" fontId="4" fillId="0" borderId="9" xfId="1" applyFont="1" applyBorder="1" applyAlignment="1" applyProtection="1">
      <alignment vertical="center"/>
      <protection hidden="1"/>
    </xf>
    <xf numFmtId="0" fontId="4" fillId="0" borderId="10" xfId="1" applyFont="1" applyBorder="1" applyAlignment="1" applyProtection="1">
      <alignment vertical="center"/>
      <protection hidden="1"/>
    </xf>
    <xf numFmtId="0" fontId="1" fillId="0" borderId="10" xfId="1" applyBorder="1" applyAlignment="1" applyProtection="1">
      <alignment vertical="center"/>
      <protection hidden="1"/>
    </xf>
    <xf numFmtId="0" fontId="1" fillId="0" borderId="11" xfId="1" applyBorder="1" applyAlignment="1" applyProtection="1">
      <alignment vertical="center"/>
      <protection hidden="1"/>
    </xf>
    <xf numFmtId="0" fontId="5" fillId="3" borderId="40" xfId="1" applyFont="1" applyFill="1" applyBorder="1" applyAlignment="1" applyProtection="1">
      <alignment vertical="center"/>
      <protection hidden="1"/>
    </xf>
    <xf numFmtId="0" fontId="2" fillId="0" borderId="15" xfId="1" applyFont="1" applyBorder="1" applyAlignment="1" applyProtection="1">
      <alignment vertical="center"/>
      <protection locked="0"/>
    </xf>
    <xf numFmtId="0" fontId="3" fillId="2" borderId="0" xfId="1" applyFont="1" applyFill="1" applyAlignment="1" applyProtection="1">
      <alignment horizontal="center" vertical="center"/>
      <protection hidden="1"/>
    </xf>
    <xf numFmtId="0" fontId="5" fillId="3" borderId="3" xfId="1" applyFont="1" applyFill="1" applyBorder="1" applyAlignment="1" applyProtection="1">
      <alignment horizontal="center" vertical="center"/>
      <protection hidden="1"/>
    </xf>
    <xf numFmtId="0" fontId="2" fillId="0" borderId="1" xfId="1" applyFont="1" applyBorder="1" applyAlignment="1" applyProtection="1">
      <alignment horizontal="center" vertical="center"/>
      <protection locked="0"/>
    </xf>
    <xf numFmtId="0" fontId="2" fillId="3" borderId="18" xfId="1" applyFont="1" applyFill="1" applyBorder="1" applyAlignment="1" applyProtection="1">
      <alignment vertical="center" shrinkToFit="1"/>
      <protection hidden="1"/>
    </xf>
    <xf numFmtId="0" fontId="4" fillId="0" borderId="21" xfId="1" quotePrefix="1" applyFont="1" applyBorder="1" applyAlignment="1" applyProtection="1">
      <alignment horizontal="center" vertical="center" shrinkToFit="1"/>
      <protection locked="0"/>
    </xf>
    <xf numFmtId="0" fontId="30" fillId="0" borderId="41" xfId="1" applyFont="1" applyBorder="1" applyAlignment="1" applyProtection="1">
      <alignment vertical="center"/>
      <protection hidden="1"/>
    </xf>
    <xf numFmtId="169" fontId="4" fillId="0" borderId="0" xfId="1" applyNumberFormat="1" applyFont="1" applyAlignment="1" applyProtection="1">
      <alignment horizontal="center" vertical="center"/>
      <protection hidden="1"/>
    </xf>
    <xf numFmtId="0" fontId="22" fillId="0" borderId="14" xfId="2" applyFont="1" applyBorder="1" applyAlignment="1" applyProtection="1">
      <alignment horizontal="center" vertical="center" wrapText="1"/>
      <protection hidden="1"/>
    </xf>
    <xf numFmtId="0" fontId="30" fillId="0" borderId="41" xfId="1" applyFont="1" applyBorder="1" applyAlignment="1" applyProtection="1">
      <alignment horizontal="center" vertical="center" wrapText="1"/>
      <protection hidden="1"/>
    </xf>
    <xf numFmtId="168" fontId="30" fillId="0" borderId="41" xfId="1" applyNumberFormat="1" applyFont="1" applyBorder="1" applyAlignment="1" applyProtection="1">
      <alignment horizontal="center" vertical="center"/>
      <protection hidden="1"/>
    </xf>
    <xf numFmtId="0" fontId="5" fillId="0" borderId="41" xfId="1" applyFont="1" applyBorder="1" applyAlignment="1" applyProtection="1">
      <alignment horizontal="center" vertical="center"/>
      <protection hidden="1"/>
    </xf>
    <xf numFmtId="0" fontId="7" fillId="0" borderId="42" xfId="1" applyFont="1" applyBorder="1" applyAlignment="1" applyProtection="1">
      <alignment vertical="center"/>
      <protection hidden="1"/>
    </xf>
    <xf numFmtId="0" fontId="5" fillId="0" borderId="1" xfId="1" applyFont="1" applyBorder="1" applyAlignment="1" applyProtection="1">
      <alignment horizontal="right" vertical="center"/>
      <protection hidden="1"/>
    </xf>
    <xf numFmtId="0" fontId="43" fillId="0" borderId="1" xfId="1" applyFont="1" applyBorder="1" applyAlignment="1" applyProtection="1">
      <alignment horizontal="center"/>
      <protection locked="0"/>
    </xf>
    <xf numFmtId="0" fontId="30" fillId="0" borderId="0" xfId="1" applyFont="1" applyAlignment="1" applyProtection="1">
      <alignment horizontal="center" vertical="center" wrapText="1"/>
      <protection hidden="1"/>
    </xf>
    <xf numFmtId="0" fontId="7" fillId="0" borderId="48" xfId="1" applyFont="1" applyBorder="1" applyAlignment="1" applyProtection="1">
      <alignment vertical="center"/>
      <protection hidden="1"/>
    </xf>
    <xf numFmtId="0" fontId="7" fillId="0" borderId="5" xfId="1" applyFont="1" applyBorder="1" applyAlignment="1" applyProtection="1">
      <alignment vertical="center"/>
      <protection hidden="1"/>
    </xf>
    <xf numFmtId="0" fontId="12" fillId="0" borderId="41" xfId="1" applyFont="1" applyBorder="1" applyAlignment="1" applyProtection="1">
      <alignment horizontal="center" vertical="center"/>
      <protection hidden="1"/>
    </xf>
    <xf numFmtId="0" fontId="2" fillId="0" borderId="49" xfId="1" applyFont="1" applyBorder="1" applyAlignment="1" applyProtection="1">
      <alignment vertical="center"/>
      <protection locked="0"/>
    </xf>
    <xf numFmtId="0" fontId="2" fillId="0" borderId="50" xfId="1" applyFont="1" applyBorder="1" applyAlignment="1" applyProtection="1">
      <alignment horizontal="center" vertical="center"/>
      <protection locked="0"/>
    </xf>
    <xf numFmtId="0" fontId="17" fillId="0" borderId="29" xfId="2" applyFont="1" applyBorder="1" applyAlignment="1" applyProtection="1">
      <alignment horizontal="left" vertical="top" wrapText="1"/>
      <protection hidden="1"/>
    </xf>
    <xf numFmtId="170" fontId="8" fillId="13" borderId="41" xfId="0" applyNumberFormat="1" applyFont="1" applyFill="1" applyBorder="1" applyAlignment="1">
      <alignment horizontal="left"/>
    </xf>
    <xf numFmtId="171" fontId="4" fillId="0" borderId="17" xfId="1" applyNumberFormat="1" applyFont="1" applyBorder="1" applyAlignment="1" applyProtection="1">
      <alignment vertical="center"/>
      <protection hidden="1"/>
    </xf>
    <xf numFmtId="171" fontId="2" fillId="0" borderId="0" xfId="1" applyNumberFormat="1" applyFont="1" applyAlignment="1" applyProtection="1">
      <alignment horizontal="center" vertical="center"/>
      <protection hidden="1"/>
    </xf>
    <xf numFmtId="171" fontId="2" fillId="0" borderId="21" xfId="1" applyNumberFormat="1" applyFont="1" applyBorder="1" applyAlignment="1" applyProtection="1">
      <alignment horizontal="center" vertical="center"/>
      <protection hidden="1"/>
    </xf>
    <xf numFmtId="0" fontId="17" fillId="0" borderId="41" xfId="2" applyFont="1" applyBorder="1" applyAlignment="1" applyProtection="1">
      <alignment vertical="top" wrapText="1"/>
      <protection hidden="1"/>
    </xf>
    <xf numFmtId="0" fontId="36" fillId="0" borderId="41" xfId="2" applyFont="1" applyBorder="1" applyAlignment="1" applyProtection="1">
      <alignment vertical="center" shrinkToFit="1"/>
      <protection hidden="1"/>
    </xf>
    <xf numFmtId="171" fontId="22" fillId="0" borderId="29" xfId="2" applyNumberFormat="1" applyFont="1" applyBorder="1" applyAlignment="1" applyProtection="1">
      <alignment horizontal="right" vertical="center" wrapText="1"/>
      <protection hidden="1"/>
    </xf>
    <xf numFmtId="171" fontId="22" fillId="0" borderId="39" xfId="2" applyNumberFormat="1" applyFont="1" applyBorder="1" applyAlignment="1" applyProtection="1">
      <alignment horizontal="right" vertical="center" wrapText="1"/>
      <protection hidden="1"/>
    </xf>
    <xf numFmtId="0" fontId="12" fillId="0" borderId="17" xfId="1" applyFont="1" applyBorder="1" applyAlignment="1" applyProtection="1">
      <alignment horizontal="centerContinuous" vertical="center"/>
      <protection hidden="1"/>
    </xf>
    <xf numFmtId="0" fontId="6" fillId="0" borderId="1" xfId="1" applyFont="1" applyBorder="1" applyAlignment="1" applyProtection="1">
      <alignment horizontal="center" vertical="center"/>
      <protection hidden="1"/>
    </xf>
    <xf numFmtId="0" fontId="2" fillId="0" borderId="22" xfId="1" applyFont="1" applyBorder="1" applyAlignment="1" applyProtection="1">
      <alignment horizontal="center" vertical="center"/>
      <protection hidden="1"/>
    </xf>
    <xf numFmtId="0" fontId="12" fillId="0" borderId="15" xfId="1" applyFont="1" applyBorder="1" applyAlignment="1" applyProtection="1">
      <alignment horizontal="centerContinuous" vertical="center"/>
      <protection hidden="1"/>
    </xf>
    <xf numFmtId="171" fontId="2" fillId="0" borderId="1" xfId="1" applyNumberFormat="1" applyFont="1" applyBorder="1" applyAlignment="1" applyProtection="1">
      <alignment horizontal="center" vertical="center"/>
      <protection hidden="1"/>
    </xf>
    <xf numFmtId="171" fontId="2" fillId="0" borderId="22" xfId="1" applyNumberFormat="1" applyFont="1" applyBorder="1" applyAlignment="1" applyProtection="1">
      <alignment horizontal="center" vertical="center"/>
      <protection hidden="1"/>
    </xf>
    <xf numFmtId="0" fontId="12" fillId="0" borderId="0" xfId="1" applyFont="1" applyAlignment="1" applyProtection="1">
      <alignment horizontal="centerContinuous" vertical="center" shrinkToFit="1"/>
      <protection hidden="1"/>
    </xf>
    <xf numFmtId="0" fontId="12" fillId="0" borderId="23" xfId="1" applyFont="1" applyBorder="1" applyAlignment="1" applyProtection="1">
      <alignment horizontal="centerContinuous" vertical="center" shrinkToFit="1"/>
      <protection hidden="1"/>
    </xf>
    <xf numFmtId="169" fontId="12" fillId="0" borderId="0" xfId="1" applyNumberFormat="1" applyFont="1" applyAlignment="1" applyProtection="1">
      <alignment horizontal="center" vertical="center"/>
      <protection hidden="1"/>
    </xf>
    <xf numFmtId="171" fontId="2" fillId="0" borderId="0" xfId="1" applyNumberFormat="1" applyFont="1" applyAlignment="1" applyProtection="1">
      <alignment vertical="center"/>
      <protection locked="0" hidden="1"/>
    </xf>
    <xf numFmtId="171" fontId="7" fillId="0" borderId="0" xfId="1" applyNumberFormat="1" applyFont="1" applyAlignment="1" applyProtection="1">
      <alignment vertical="center"/>
      <protection locked="0" hidden="1"/>
    </xf>
    <xf numFmtId="0" fontId="30" fillId="0" borderId="48" xfId="1" applyFont="1" applyBorder="1" applyAlignment="1" applyProtection="1">
      <alignment horizontal="center" vertical="center"/>
      <protection hidden="1"/>
    </xf>
    <xf numFmtId="0" fontId="30" fillId="0" borderId="42" xfId="1" applyFont="1" applyBorder="1" applyAlignment="1" applyProtection="1">
      <alignment horizontal="center" vertical="center"/>
      <protection hidden="1"/>
    </xf>
    <xf numFmtId="167" fontId="30" fillId="0" borderId="41" xfId="1" applyNumberFormat="1" applyFont="1" applyBorder="1" applyAlignment="1" applyProtection="1">
      <alignment vertical="center" wrapText="1"/>
      <protection hidden="1"/>
    </xf>
    <xf numFmtId="0" fontId="30" fillId="0" borderId="0" xfId="1" applyFont="1" applyAlignment="1" applyProtection="1">
      <alignment horizontal="centerContinuous" vertical="center"/>
      <protection hidden="1"/>
    </xf>
    <xf numFmtId="171" fontId="2" fillId="0" borderId="23" xfId="1" applyNumberFormat="1" applyFont="1" applyBorder="1" applyAlignment="1" applyProtection="1">
      <alignment horizontal="center" vertical="center"/>
      <protection hidden="1"/>
    </xf>
    <xf numFmtId="0" fontId="4" fillId="4" borderId="13" xfId="1" applyFont="1" applyFill="1" applyBorder="1" applyAlignment="1" applyProtection="1">
      <alignment vertical="center"/>
      <protection hidden="1"/>
    </xf>
    <xf numFmtId="0" fontId="4" fillId="4" borderId="20" xfId="1" applyFont="1" applyFill="1" applyBorder="1" applyAlignment="1" applyProtection="1">
      <alignment vertical="center"/>
      <protection hidden="1"/>
    </xf>
    <xf numFmtId="0" fontId="1" fillId="0" borderId="13" xfId="1" applyBorder="1" applyAlignment="1" applyProtection="1">
      <alignment vertical="center"/>
      <protection hidden="1"/>
    </xf>
    <xf numFmtId="0" fontId="4" fillId="16" borderId="52" xfId="1" applyFont="1" applyFill="1" applyBorder="1" applyAlignment="1" applyProtection="1">
      <alignment vertical="center"/>
      <protection hidden="1"/>
    </xf>
    <xf numFmtId="0" fontId="4" fillId="17" borderId="52" xfId="1" applyFont="1" applyFill="1" applyBorder="1" applyAlignment="1" applyProtection="1">
      <alignment vertical="center"/>
      <protection hidden="1"/>
    </xf>
    <xf numFmtId="0" fontId="4" fillId="15" borderId="52" xfId="1" applyFont="1" applyFill="1" applyBorder="1" applyAlignment="1" applyProtection="1">
      <alignment vertical="center"/>
      <protection hidden="1"/>
    </xf>
    <xf numFmtId="0" fontId="16" fillId="10" borderId="39" xfId="2" applyFill="1" applyBorder="1" applyAlignment="1" applyProtection="1">
      <alignment horizontal="left" vertical="top" wrapText="1"/>
      <protection locked="0"/>
    </xf>
    <xf numFmtId="0" fontId="0" fillId="15" borderId="0" xfId="0" applyFill="1"/>
    <xf numFmtId="0" fontId="6" fillId="0" borderId="15" xfId="1" applyFont="1" applyBorder="1" applyAlignment="1" applyProtection="1">
      <alignment horizontal="center" vertical="center"/>
      <protection hidden="1"/>
    </xf>
    <xf numFmtId="171" fontId="42" fillId="0" borderId="16" xfId="1" applyNumberFormat="1" applyFont="1" applyBorder="1" applyAlignment="1" applyProtection="1">
      <alignment horizontal="center" vertical="center" shrinkToFit="1"/>
      <protection hidden="1"/>
    </xf>
    <xf numFmtId="0" fontId="0" fillId="16" borderId="0" xfId="0" applyFill="1"/>
    <xf numFmtId="0" fontId="0" fillId="17" borderId="0" xfId="0" applyFill="1"/>
    <xf numFmtId="0" fontId="30" fillId="0" borderId="53" xfId="1" applyFont="1" applyBorder="1" applyAlignment="1" applyProtection="1">
      <alignment horizontal="center" vertical="center"/>
      <protection hidden="1"/>
    </xf>
    <xf numFmtId="0" fontId="30" fillId="0" borderId="5" xfId="1" applyFont="1" applyBorder="1" applyAlignment="1" applyProtection="1">
      <alignment horizontal="center" vertical="center"/>
      <protection hidden="1"/>
    </xf>
    <xf numFmtId="171" fontId="4" fillId="0" borderId="22" xfId="1" applyNumberFormat="1" applyFont="1" applyBorder="1" applyAlignment="1" applyProtection="1">
      <alignment vertical="center"/>
      <protection hidden="1"/>
    </xf>
    <xf numFmtId="0" fontId="30" fillId="0" borderId="26" xfId="1" applyFont="1" applyBorder="1" applyAlignment="1" applyProtection="1">
      <alignment horizontal="center" vertical="center"/>
      <protection hidden="1"/>
    </xf>
    <xf numFmtId="0" fontId="30" fillId="0" borderId="25" xfId="1" applyFont="1" applyBorder="1" applyAlignment="1" applyProtection="1">
      <alignment horizontal="center" vertical="center"/>
      <protection hidden="1"/>
    </xf>
    <xf numFmtId="167" fontId="0" fillId="0" borderId="0" xfId="0" applyNumberFormat="1"/>
    <xf numFmtId="0" fontId="30" fillId="0" borderId="41" xfId="1" applyFont="1" applyBorder="1" applyAlignment="1" applyProtection="1">
      <alignment horizontal="center" vertical="center"/>
      <protection hidden="1"/>
    </xf>
    <xf numFmtId="0" fontId="30" fillId="0" borderId="0" xfId="1" applyFont="1" applyAlignment="1" applyProtection="1">
      <alignment horizontal="left" vertical="center"/>
      <protection hidden="1"/>
    </xf>
    <xf numFmtId="0" fontId="4" fillId="4" borderId="18" xfId="1" applyFont="1" applyFill="1" applyBorder="1" applyAlignment="1" applyProtection="1">
      <alignment horizontal="center" vertical="center" wrapText="1"/>
      <protection hidden="1"/>
    </xf>
    <xf numFmtId="0" fontId="4" fillId="4" borderId="22" xfId="1" applyFont="1" applyFill="1" applyBorder="1" applyAlignment="1" applyProtection="1">
      <alignment horizontal="center" vertical="center" wrapText="1"/>
      <protection hidden="1"/>
    </xf>
    <xf numFmtId="0" fontId="4" fillId="0" borderId="19" xfId="1" applyFont="1" applyBorder="1" applyAlignment="1" applyProtection="1">
      <alignment horizontal="center" vertical="center" wrapText="1"/>
      <protection hidden="1"/>
    </xf>
    <xf numFmtId="0" fontId="4" fillId="0" borderId="13" xfId="1" applyFont="1" applyBorder="1" applyAlignment="1" applyProtection="1">
      <alignment horizontal="center" vertical="center"/>
      <protection hidden="1"/>
    </xf>
    <xf numFmtId="0" fontId="4" fillId="0" borderId="23" xfId="1" applyFont="1" applyBorder="1" applyAlignment="1" applyProtection="1">
      <alignment horizontal="center" vertical="center"/>
      <protection hidden="1"/>
    </xf>
    <xf numFmtId="0" fontId="4" fillId="0" borderId="15" xfId="1" applyFont="1" applyBorder="1" applyAlignment="1" applyProtection="1">
      <alignment horizontal="center" vertical="center"/>
      <protection hidden="1"/>
    </xf>
    <xf numFmtId="167" fontId="30" fillId="0" borderId="48" xfId="1" applyNumberFormat="1" applyFont="1" applyBorder="1" applyAlignment="1" applyProtection="1">
      <alignment horizontal="center" vertical="center"/>
      <protection hidden="1"/>
    </xf>
    <xf numFmtId="167" fontId="30" fillId="0" borderId="5" xfId="1" applyNumberFormat="1" applyFont="1" applyBorder="1" applyAlignment="1" applyProtection="1">
      <alignment horizontal="center" vertical="center"/>
      <protection hidden="1"/>
    </xf>
    <xf numFmtId="167" fontId="30" fillId="0" borderId="42" xfId="1" applyNumberFormat="1" applyFont="1" applyBorder="1" applyAlignment="1" applyProtection="1">
      <alignment horizontal="center" vertical="center"/>
      <protection hidden="1"/>
    </xf>
    <xf numFmtId="0" fontId="30" fillId="0" borderId="48" xfId="1" applyFont="1" applyBorder="1" applyAlignment="1" applyProtection="1">
      <alignment horizontal="center" vertical="center"/>
      <protection hidden="1"/>
    </xf>
    <xf numFmtId="0" fontId="30" fillId="0" borderId="5" xfId="1" applyFont="1" applyBorder="1" applyAlignment="1" applyProtection="1">
      <alignment horizontal="center" vertical="center"/>
      <protection hidden="1"/>
    </xf>
    <xf numFmtId="0" fontId="30" fillId="0" borderId="42" xfId="1" applyFont="1" applyBorder="1" applyAlignment="1" applyProtection="1">
      <alignment horizontal="center" vertical="center"/>
      <protection hidden="1"/>
    </xf>
    <xf numFmtId="0" fontId="30" fillId="0" borderId="48" xfId="1" applyFont="1" applyBorder="1" applyAlignment="1" applyProtection="1">
      <alignment horizontal="center" vertical="center" wrapText="1"/>
      <protection hidden="1"/>
    </xf>
    <xf numFmtId="0" fontId="30" fillId="0" borderId="5" xfId="1" applyFont="1" applyBorder="1" applyAlignment="1" applyProtection="1">
      <alignment horizontal="center" vertical="center" wrapText="1"/>
      <protection hidden="1"/>
    </xf>
    <xf numFmtId="0" fontId="30" fillId="0" borderId="42" xfId="1" applyFont="1" applyBorder="1" applyAlignment="1" applyProtection="1">
      <alignment horizontal="center" vertical="center" wrapText="1"/>
      <protection hidden="1"/>
    </xf>
    <xf numFmtId="0" fontId="30" fillId="0" borderId="48" xfId="1" applyFont="1" applyBorder="1" applyAlignment="1" applyProtection="1">
      <alignment horizontal="left" vertical="center"/>
      <protection hidden="1"/>
    </xf>
    <xf numFmtId="0" fontId="30" fillId="0" borderId="5" xfId="1" applyFont="1" applyBorder="1" applyAlignment="1" applyProtection="1">
      <alignment horizontal="left" vertical="center"/>
      <protection hidden="1"/>
    </xf>
    <xf numFmtId="0" fontId="30" fillId="0" borderId="42" xfId="1" applyFont="1" applyBorder="1" applyAlignment="1" applyProtection="1">
      <alignment horizontal="left" vertical="center"/>
      <protection hidden="1"/>
    </xf>
    <xf numFmtId="0" fontId="30" fillId="0" borderId="41" xfId="1" applyFont="1" applyBorder="1" applyAlignment="1" applyProtection="1">
      <alignment horizontal="center" vertical="center" wrapText="1"/>
      <protection hidden="1"/>
    </xf>
    <xf numFmtId="0" fontId="5" fillId="0" borderId="48" xfId="1" applyFont="1" applyBorder="1" applyAlignment="1" applyProtection="1">
      <alignment horizontal="center" vertical="center"/>
      <protection hidden="1"/>
    </xf>
    <xf numFmtId="0" fontId="5" fillId="0" borderId="5" xfId="1" applyFont="1" applyBorder="1" applyAlignment="1" applyProtection="1">
      <alignment horizontal="center" vertical="center"/>
      <protection hidden="1"/>
    </xf>
    <xf numFmtId="0" fontId="5" fillId="0" borderId="42" xfId="1" applyFont="1" applyBorder="1" applyAlignment="1" applyProtection="1">
      <alignment horizontal="center" vertical="center"/>
      <protection hidden="1"/>
    </xf>
    <xf numFmtId="0" fontId="4" fillId="0" borderId="2" xfId="1" applyFont="1" applyBorder="1" applyAlignment="1" applyProtection="1">
      <alignment horizontal="left" vertical="center"/>
      <protection locked="0" hidden="1"/>
    </xf>
    <xf numFmtId="0" fontId="4" fillId="0" borderId="3" xfId="1" applyFont="1" applyBorder="1" applyAlignment="1" applyProtection="1">
      <alignment horizontal="left" vertical="center"/>
      <protection locked="0" hidden="1"/>
    </xf>
    <xf numFmtId="0" fontId="5" fillId="0" borderId="3" xfId="1" applyFont="1" applyBorder="1" applyAlignment="1" applyProtection="1">
      <alignment vertical="center"/>
      <protection locked="0" hidden="1"/>
    </xf>
    <xf numFmtId="0" fontId="4" fillId="0" borderId="4" xfId="1" applyFont="1" applyBorder="1" applyAlignment="1" applyProtection="1">
      <alignment horizontal="left" vertical="center"/>
      <protection hidden="1"/>
    </xf>
    <xf numFmtId="0" fontId="4" fillId="0" borderId="5" xfId="1" applyFont="1" applyBorder="1" applyAlignment="1" applyProtection="1">
      <alignment horizontal="left" vertical="center"/>
      <protection hidden="1"/>
    </xf>
    <xf numFmtId="0" fontId="5" fillId="0" borderId="5" xfId="1" applyFont="1" applyBorder="1" applyAlignment="1" applyProtection="1">
      <alignment vertical="center"/>
      <protection hidden="1"/>
    </xf>
    <xf numFmtId="0" fontId="3" fillId="2" borderId="0" xfId="1" applyFont="1" applyFill="1" applyAlignment="1" applyProtection="1">
      <alignment horizontal="center" vertical="center"/>
      <protection hidden="1"/>
    </xf>
    <xf numFmtId="0" fontId="5" fillId="3" borderId="2" xfId="1" applyFont="1" applyFill="1" applyBorder="1" applyAlignment="1" applyProtection="1">
      <alignment horizontal="center" vertical="center"/>
      <protection hidden="1"/>
    </xf>
    <xf numFmtId="0" fontId="5" fillId="3" borderId="3" xfId="1" applyFont="1" applyFill="1" applyBorder="1" applyAlignment="1" applyProtection="1">
      <alignment horizontal="center" vertical="center"/>
      <protection hidden="1"/>
    </xf>
    <xf numFmtId="0" fontId="2" fillId="0" borderId="1" xfId="1" applyFont="1" applyBorder="1" applyAlignment="1" applyProtection="1">
      <alignment horizontal="left" vertical="center"/>
      <protection locked="0"/>
    </xf>
    <xf numFmtId="0" fontId="2" fillId="0" borderId="4" xfId="1" applyFont="1" applyBorder="1" applyAlignment="1" applyProtection="1">
      <alignment horizontal="left" vertical="center"/>
      <protection locked="0"/>
    </xf>
    <xf numFmtId="0" fontId="2" fillId="0" borderId="5" xfId="1" applyFont="1" applyBorder="1" applyAlignment="1" applyProtection="1">
      <alignment horizontal="left" vertical="center"/>
      <protection locked="0"/>
    </xf>
    <xf numFmtId="0" fontId="2" fillId="0" borderId="6" xfId="1" applyFont="1" applyBorder="1" applyAlignment="1" applyProtection="1">
      <alignment horizontal="left" vertical="center"/>
      <protection locked="0"/>
    </xf>
    <xf numFmtId="0" fontId="2" fillId="0" borderId="2" xfId="1" applyFont="1" applyBorder="1" applyAlignment="1" applyProtection="1">
      <alignment horizontal="left" vertical="center"/>
      <protection locked="0" hidden="1"/>
    </xf>
    <xf numFmtId="0" fontId="2" fillId="0" borderId="3" xfId="1" applyFont="1" applyBorder="1" applyAlignment="1" applyProtection="1">
      <alignment horizontal="left" vertical="center"/>
      <protection locked="0" hidden="1"/>
    </xf>
    <xf numFmtId="0" fontId="2" fillId="0" borderId="23" xfId="1" applyFont="1" applyBorder="1" applyAlignment="1" applyProtection="1">
      <alignment horizontal="center" vertical="center"/>
      <protection hidden="1"/>
    </xf>
    <xf numFmtId="0" fontId="2" fillId="0" borderId="1" xfId="1" applyFont="1" applyBorder="1" applyAlignment="1" applyProtection="1">
      <alignment horizontal="center" vertical="center"/>
      <protection hidden="1"/>
    </xf>
    <xf numFmtId="0" fontId="2" fillId="4" borderId="1" xfId="1" applyFont="1" applyFill="1" applyBorder="1" applyAlignment="1" applyProtection="1">
      <alignment horizontal="center" vertical="center"/>
      <protection hidden="1"/>
    </xf>
    <xf numFmtId="0" fontId="4" fillId="0" borderId="7" xfId="1" applyFont="1" applyBorder="1" applyAlignment="1" applyProtection="1">
      <alignment horizontal="left" vertical="center"/>
      <protection hidden="1"/>
    </xf>
    <xf numFmtId="0" fontId="4" fillId="0" borderId="8" xfId="1" applyFont="1" applyBorder="1" applyAlignment="1" applyProtection="1">
      <alignment horizontal="left" vertical="center"/>
      <protection hidden="1"/>
    </xf>
    <xf numFmtId="0" fontId="5" fillId="0" borderId="8" xfId="1" applyFont="1" applyBorder="1" applyAlignment="1" applyProtection="1">
      <alignment vertical="center"/>
      <protection hidden="1"/>
    </xf>
    <xf numFmtId="0" fontId="2" fillId="0" borderId="48" xfId="1" applyFont="1" applyBorder="1" applyAlignment="1" applyProtection="1">
      <alignment horizontal="left" vertical="center"/>
      <protection locked="0"/>
    </xf>
    <xf numFmtId="0" fontId="2" fillId="0" borderId="42" xfId="1" applyFont="1" applyBorder="1" applyAlignment="1" applyProtection="1">
      <alignment horizontal="left" vertical="center"/>
      <protection locked="0"/>
    </xf>
    <xf numFmtId="0" fontId="4" fillId="4" borderId="23" xfId="1" applyFont="1" applyFill="1" applyBorder="1" applyAlignment="1" applyProtection="1">
      <alignment horizontal="center" vertical="center"/>
      <protection hidden="1"/>
    </xf>
    <xf numFmtId="0" fontId="4" fillId="4" borderId="1" xfId="1" applyFont="1" applyFill="1" applyBorder="1" applyAlignment="1" applyProtection="1">
      <alignment horizontal="center" vertical="center"/>
      <protection hidden="1"/>
    </xf>
    <xf numFmtId="0" fontId="4" fillId="4" borderId="15" xfId="1" applyFont="1" applyFill="1" applyBorder="1" applyAlignment="1" applyProtection="1">
      <alignment horizontal="center" vertical="center"/>
      <protection hidden="1"/>
    </xf>
    <xf numFmtId="0" fontId="22" fillId="0" borderId="27" xfId="2" applyFont="1" applyBorder="1" applyAlignment="1" applyProtection="1">
      <alignment horizontal="center" vertical="center" wrapText="1"/>
      <protection hidden="1"/>
    </xf>
    <xf numFmtId="0" fontId="22" fillId="0" borderId="29" xfId="2" applyFont="1" applyBorder="1" applyAlignment="1" applyProtection="1">
      <alignment horizontal="center" vertical="center" wrapText="1"/>
      <protection hidden="1"/>
    </xf>
    <xf numFmtId="0" fontId="22" fillId="0" borderId="30" xfId="2" applyFont="1" applyBorder="1" applyAlignment="1" applyProtection="1">
      <alignment horizontal="center" vertical="center" wrapText="1"/>
      <protection hidden="1"/>
    </xf>
    <xf numFmtId="0" fontId="22" fillId="0" borderId="32" xfId="2" applyFont="1" applyBorder="1" applyAlignment="1" applyProtection="1">
      <alignment horizontal="center" vertical="center" wrapText="1"/>
      <protection hidden="1"/>
    </xf>
    <xf numFmtId="45" fontId="22" fillId="0" borderId="14" xfId="2" applyNumberFormat="1" applyFont="1" applyBorder="1" applyAlignment="1" applyProtection="1">
      <alignment horizontal="center" vertical="center" wrapText="1"/>
      <protection hidden="1"/>
    </xf>
    <xf numFmtId="0" fontId="36" fillId="0" borderId="27" xfId="2" applyFont="1" applyBorder="1" applyAlignment="1" applyProtection="1">
      <alignment horizontal="left" vertical="center" shrinkToFit="1"/>
      <protection hidden="1"/>
    </xf>
    <xf numFmtId="0" fontId="36" fillId="0" borderId="28" xfId="2" applyFont="1" applyBorder="1" applyAlignment="1" applyProtection="1">
      <alignment horizontal="left" vertical="center" shrinkToFit="1"/>
      <protection hidden="1"/>
    </xf>
    <xf numFmtId="0" fontId="36" fillId="0" borderId="51" xfId="2" applyFont="1" applyBorder="1" applyAlignment="1" applyProtection="1">
      <alignment horizontal="left" vertical="center" shrinkToFit="1"/>
      <protection hidden="1"/>
    </xf>
    <xf numFmtId="0" fontId="27" fillId="0" borderId="0" xfId="2" applyFont="1" applyAlignment="1" applyProtection="1">
      <alignment horizontal="left" vertical="center" wrapText="1"/>
      <protection locked="0" hidden="1"/>
    </xf>
    <xf numFmtId="0" fontId="21" fillId="0" borderId="0" xfId="2" applyFont="1" applyAlignment="1" applyProtection="1">
      <alignment horizontal="left"/>
      <protection locked="0"/>
    </xf>
    <xf numFmtId="0" fontId="22" fillId="0" borderId="31" xfId="2" applyFont="1" applyBorder="1" applyAlignment="1" applyProtection="1">
      <alignment horizontal="left" vertical="center" wrapText="1"/>
      <protection hidden="1"/>
    </xf>
    <xf numFmtId="0" fontId="35" fillId="0" borderId="31" xfId="2" applyFont="1" applyBorder="1" applyAlignment="1" applyProtection="1">
      <alignment horizontal="right" vertical="center" wrapText="1"/>
      <protection hidden="1"/>
    </xf>
    <xf numFmtId="0" fontId="35" fillId="0" borderId="32" xfId="2" applyFont="1" applyBorder="1" applyAlignment="1" applyProtection="1">
      <alignment horizontal="right" vertical="center" wrapText="1"/>
      <protection hidden="1"/>
    </xf>
    <xf numFmtId="0" fontId="17" fillId="0" borderId="27" xfId="2" applyFont="1" applyBorder="1" applyAlignment="1" applyProtection="1">
      <alignment horizontal="right" vertical="top" wrapText="1"/>
      <protection hidden="1"/>
    </xf>
    <xf numFmtId="0" fontId="17" fillId="0" borderId="28" xfId="2" applyFont="1" applyBorder="1" applyAlignment="1" applyProtection="1">
      <alignment horizontal="right" vertical="top" wrapText="1"/>
      <protection hidden="1"/>
    </xf>
    <xf numFmtId="0" fontId="17" fillId="0" borderId="29" xfId="2" applyFont="1" applyBorder="1" applyAlignment="1" applyProtection="1">
      <alignment horizontal="right" vertical="top" wrapText="1"/>
      <protection hidden="1"/>
    </xf>
    <xf numFmtId="0" fontId="17" fillId="0" borderId="27" xfId="2" applyFont="1" applyBorder="1" applyAlignment="1" applyProtection="1">
      <alignment horizontal="center" vertical="center" wrapText="1"/>
      <protection hidden="1"/>
    </xf>
    <xf numFmtId="0" fontId="17" fillId="0" borderId="28" xfId="2" applyFont="1" applyBorder="1" applyAlignment="1" applyProtection="1">
      <alignment horizontal="center" vertical="center" wrapText="1"/>
      <protection hidden="1"/>
    </xf>
    <xf numFmtId="0" fontId="17" fillId="0" borderId="31" xfId="2" applyFont="1" applyBorder="1" applyAlignment="1" applyProtection="1">
      <alignment horizontal="center" vertical="center" wrapText="1"/>
      <protection hidden="1"/>
    </xf>
    <xf numFmtId="0" fontId="17" fillId="0" borderId="29" xfId="2" applyFont="1" applyBorder="1" applyAlignment="1" applyProtection="1">
      <alignment horizontal="center" vertical="center" wrapText="1"/>
      <protection hidden="1"/>
    </xf>
    <xf numFmtId="0" fontId="17" fillId="0" borderId="27" xfId="2" applyFont="1" applyBorder="1" applyAlignment="1" applyProtection="1">
      <alignment horizontal="center" vertical="top" wrapText="1"/>
      <protection hidden="1"/>
    </xf>
    <xf numFmtId="0" fontId="17" fillId="0" borderId="29" xfId="2" applyFont="1" applyBorder="1" applyAlignment="1" applyProtection="1">
      <alignment horizontal="center" vertical="top" wrapText="1"/>
      <protection hidden="1"/>
    </xf>
    <xf numFmtId="0" fontId="22" fillId="0" borderId="28" xfId="2" applyFont="1" applyBorder="1" applyAlignment="1" applyProtection="1">
      <alignment horizontal="left" vertical="center" wrapText="1"/>
      <protection hidden="1"/>
    </xf>
    <xf numFmtId="0" fontId="22" fillId="0" borderId="29" xfId="2" applyFont="1" applyBorder="1" applyAlignment="1" applyProtection="1">
      <alignment horizontal="left" vertical="center" wrapText="1"/>
      <protection hidden="1"/>
    </xf>
    <xf numFmtId="0" fontId="17" fillId="0" borderId="27" xfId="2" applyFont="1" applyBorder="1" applyAlignment="1" applyProtection="1">
      <alignment horizontal="left" vertical="top" wrapText="1"/>
      <protection hidden="1"/>
    </xf>
    <xf numFmtId="0" fontId="17" fillId="0" borderId="28" xfId="2" applyFont="1" applyBorder="1" applyAlignment="1" applyProtection="1">
      <alignment horizontal="left" vertical="top" wrapText="1"/>
      <protection hidden="1"/>
    </xf>
    <xf numFmtId="0" fontId="17" fillId="0" borderId="51" xfId="2" applyFont="1" applyBorder="1" applyAlignment="1" applyProtection="1">
      <alignment horizontal="left" vertical="top" wrapText="1"/>
      <protection hidden="1"/>
    </xf>
    <xf numFmtId="0" fontId="23" fillId="0" borderId="34" xfId="2" applyFont="1" applyBorder="1" applyAlignment="1" applyProtection="1">
      <alignment horizontal="left" vertical="center" wrapText="1"/>
      <protection hidden="1"/>
    </xf>
    <xf numFmtId="0" fontId="23" fillId="0" borderId="0" xfId="2" applyFont="1" applyAlignment="1" applyProtection="1">
      <alignment horizontal="left" vertical="center" wrapText="1"/>
      <protection hidden="1"/>
    </xf>
    <xf numFmtId="0" fontId="23" fillId="0" borderId="35" xfId="2" applyFont="1" applyBorder="1" applyAlignment="1" applyProtection="1">
      <alignment horizontal="left" vertical="center" wrapText="1"/>
      <protection hidden="1"/>
    </xf>
    <xf numFmtId="0" fontId="23" fillId="0" borderId="36" xfId="2" applyFont="1" applyBorder="1" applyAlignment="1" applyProtection="1">
      <alignment horizontal="left" vertical="center" wrapText="1"/>
      <protection hidden="1"/>
    </xf>
    <xf numFmtId="0" fontId="23" fillId="0" borderId="37" xfId="2" applyFont="1" applyBorder="1" applyAlignment="1" applyProtection="1">
      <alignment horizontal="left" vertical="center" wrapText="1"/>
      <protection hidden="1"/>
    </xf>
    <xf numFmtId="0" fontId="23" fillId="0" borderId="38" xfId="2" applyFont="1" applyBorder="1" applyAlignment="1" applyProtection="1">
      <alignment horizontal="left" vertical="center" wrapText="1"/>
      <protection hidden="1"/>
    </xf>
    <xf numFmtId="0" fontId="35" fillId="0" borderId="28" xfId="2" applyFont="1" applyBorder="1" applyAlignment="1" applyProtection="1">
      <alignment horizontal="left" vertical="center" wrapText="1"/>
      <protection hidden="1"/>
    </xf>
    <xf numFmtId="0" fontId="17" fillId="0" borderId="27" xfId="2" applyFont="1" applyBorder="1" applyAlignment="1" applyProtection="1">
      <alignment horizontal="left" vertical="center" wrapText="1"/>
      <protection hidden="1"/>
    </xf>
    <xf numFmtId="0" fontId="17" fillId="0" borderId="29" xfId="2" applyFont="1" applyBorder="1" applyAlignment="1" applyProtection="1">
      <alignment horizontal="left" vertical="center" wrapText="1"/>
      <protection hidden="1"/>
    </xf>
    <xf numFmtId="0" fontId="16" fillId="0" borderId="28" xfId="2" applyBorder="1" applyAlignment="1" applyProtection="1">
      <alignment horizontal="left" vertical="top" wrapText="1"/>
      <protection hidden="1"/>
    </xf>
    <xf numFmtId="0" fontId="16" fillId="0" borderId="37" xfId="2" applyBorder="1" applyAlignment="1" applyProtection="1">
      <alignment horizontal="left" vertical="top" wrapText="1"/>
      <protection hidden="1"/>
    </xf>
    <xf numFmtId="0" fontId="16" fillId="0" borderId="38" xfId="2" applyBorder="1" applyAlignment="1" applyProtection="1">
      <alignment horizontal="left" vertical="top" wrapText="1"/>
      <protection hidden="1"/>
    </xf>
    <xf numFmtId="0" fontId="17" fillId="0" borderId="30" xfId="2" applyFont="1" applyBorder="1" applyAlignment="1" applyProtection="1">
      <alignment horizontal="right" vertical="top" wrapText="1"/>
      <protection hidden="1"/>
    </xf>
    <xf numFmtId="0" fontId="17" fillId="0" borderId="31" xfId="2" applyFont="1" applyBorder="1" applyAlignment="1" applyProtection="1">
      <alignment horizontal="right" vertical="top" wrapText="1"/>
      <protection hidden="1"/>
    </xf>
    <xf numFmtId="0" fontId="17" fillId="0" borderId="32" xfId="2" applyFont="1" applyBorder="1" applyAlignment="1" applyProtection="1">
      <alignment horizontal="right" vertical="top" wrapText="1"/>
      <protection hidden="1"/>
    </xf>
    <xf numFmtId="0" fontId="16" fillId="11" borderId="24" xfId="2" applyFill="1" applyBorder="1" applyAlignment="1" applyProtection="1">
      <alignment horizontal="center" vertical="top" wrapText="1"/>
      <protection hidden="1"/>
    </xf>
    <xf numFmtId="0" fontId="16" fillId="11" borderId="43" xfId="2" applyFill="1" applyBorder="1" applyAlignment="1" applyProtection="1">
      <alignment horizontal="center" vertical="top" wrapText="1"/>
      <protection hidden="1"/>
    </xf>
    <xf numFmtId="0" fontId="44" fillId="11" borderId="25" xfId="2" applyFont="1" applyFill="1" applyBorder="1" applyAlignment="1" applyProtection="1">
      <alignment horizontal="center" vertical="center" wrapText="1"/>
      <protection locked="0"/>
    </xf>
    <xf numFmtId="0" fontId="44" fillId="11" borderId="44" xfId="2" applyFont="1" applyFill="1" applyBorder="1" applyAlignment="1" applyProtection="1">
      <alignment horizontal="center" vertical="center" wrapText="1"/>
      <protection locked="0"/>
    </xf>
    <xf numFmtId="0" fontId="44" fillId="11" borderId="45" xfId="2" applyFont="1" applyFill="1" applyBorder="1" applyAlignment="1" applyProtection="1">
      <alignment horizontal="center" vertical="center" wrapText="1"/>
      <protection locked="0"/>
    </xf>
    <xf numFmtId="0" fontId="44" fillId="11" borderId="46" xfId="2" applyFont="1" applyFill="1" applyBorder="1" applyAlignment="1" applyProtection="1">
      <alignment horizontal="center" vertical="center" wrapText="1"/>
      <protection locked="0"/>
    </xf>
    <xf numFmtId="0" fontId="17" fillId="0" borderId="28" xfId="2" applyFont="1" applyBorder="1" applyAlignment="1" applyProtection="1">
      <alignment horizontal="left" vertical="center" wrapText="1"/>
      <protection hidden="1"/>
    </xf>
    <xf numFmtId="0" fontId="0" fillId="9" borderId="0" xfId="0" applyFill="1" applyAlignment="1">
      <alignment horizontal="center"/>
    </xf>
    <xf numFmtId="0" fontId="0" fillId="0" borderId="0" xfId="0" applyAlignment="1">
      <alignment horizontal="center"/>
    </xf>
    <xf numFmtId="0" fontId="0" fillId="6" borderId="0" xfId="0" applyFill="1" applyAlignment="1">
      <alignment horizontal="center"/>
    </xf>
    <xf numFmtId="0" fontId="0" fillId="7" borderId="0" xfId="0" applyFill="1" applyAlignment="1">
      <alignment horizontal="center"/>
    </xf>
    <xf numFmtId="0" fontId="47" fillId="13" borderId="48" xfId="0" applyFont="1" applyFill="1" applyBorder="1" applyAlignment="1">
      <alignment horizontal="center"/>
    </xf>
    <xf numFmtId="0" fontId="47" fillId="13" borderId="42" xfId="0" applyFont="1" applyFill="1" applyBorder="1" applyAlignment="1">
      <alignment horizontal="center"/>
    </xf>
    <xf numFmtId="0" fontId="47" fillId="13" borderId="5" xfId="0" applyFont="1" applyFill="1" applyBorder="1" applyAlignment="1">
      <alignment horizontal="center"/>
    </xf>
  </cellXfs>
  <cellStyles count="3">
    <cellStyle name="Normal 2" xfId="1" xr:uid="{00000000-0005-0000-0000-000000000000}"/>
    <cellStyle name="Normal 3" xfId="2" xr:uid="{00000000-0005-0000-0000-000001000000}"/>
    <cellStyle name="Standaard" xfId="0" builtinId="0"/>
  </cellStyles>
  <dxfs count="267">
    <dxf>
      <fill>
        <patternFill>
          <bgColor theme="0" tint="-0.14996795556505021"/>
        </patternFill>
      </fill>
    </dxf>
    <dxf>
      <fill>
        <patternFill>
          <bgColor theme="0" tint="-0.14996795556505021"/>
        </patternFill>
      </fill>
    </dxf>
    <dxf>
      <fill>
        <patternFill>
          <bgColor theme="0" tint="-0.14996795556505021"/>
        </patternFill>
      </fill>
    </dxf>
    <dxf>
      <font>
        <b/>
        <i val="0"/>
      </font>
      <fill>
        <patternFill>
          <bgColor theme="0" tint="-0.14996795556505021"/>
        </patternFill>
      </fill>
    </dxf>
    <dxf>
      <fill>
        <patternFill>
          <bgColor theme="0" tint="-0.14996795556505021"/>
        </patternFill>
      </fill>
    </dxf>
    <dxf>
      <fill>
        <patternFill>
          <bgColor theme="0" tint="-0.14996795556505021"/>
        </patternFill>
      </fill>
    </dxf>
    <dxf>
      <font>
        <color theme="0"/>
      </font>
      <fill>
        <patternFill>
          <bgColor theme="1"/>
        </patternFill>
      </fill>
    </dxf>
    <dxf>
      <fill>
        <patternFill>
          <bgColor theme="0" tint="-0.14996795556505021"/>
        </patternFill>
      </fill>
    </dxf>
    <dxf>
      <font>
        <color theme="0"/>
      </font>
      <fill>
        <patternFill>
          <bgColor theme="0"/>
        </patternFill>
      </fill>
    </dxf>
    <dxf>
      <fill>
        <patternFill>
          <bgColor rgb="FFFFFF65"/>
        </patternFill>
      </fill>
    </dxf>
    <dxf>
      <fill>
        <patternFill>
          <bgColor theme="9" tint="0.39994506668294322"/>
        </patternFill>
      </fill>
    </dxf>
    <dxf>
      <fill>
        <patternFill>
          <bgColor theme="0" tint="-4.9989318521683403E-2"/>
        </patternFill>
      </fill>
    </dxf>
    <dxf>
      <fill>
        <patternFill>
          <bgColor rgb="FFFF8383"/>
        </patternFill>
      </fill>
    </dxf>
    <dxf>
      <fill>
        <patternFill>
          <bgColor theme="8" tint="0.39994506668294322"/>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ill>
        <patternFill>
          <bgColor theme="9" tint="0.59996337778862885"/>
        </patternFill>
      </fill>
    </dxf>
    <dxf>
      <fill>
        <patternFill>
          <bgColor rgb="FFFFB9B9"/>
        </patternFill>
      </fill>
    </dxf>
    <dxf>
      <font>
        <color theme="0"/>
      </font>
      <fill>
        <patternFill>
          <bgColor rgb="FFFF0000"/>
        </patternFill>
      </fill>
    </dxf>
    <dxf>
      <fill>
        <patternFill>
          <bgColor rgb="FFFFB9B9"/>
        </patternFill>
      </fill>
    </dxf>
    <dxf>
      <fill>
        <patternFill>
          <bgColor theme="9" tint="0.59996337778862885"/>
        </patternFill>
      </fill>
    </dxf>
    <dxf>
      <font>
        <color theme="0"/>
      </font>
      <fill>
        <patternFill>
          <bgColor rgb="FFFF0000"/>
        </patternFill>
      </fill>
    </dxf>
    <dxf>
      <fill>
        <patternFill>
          <bgColor theme="9" tint="0.59996337778862885"/>
        </patternFill>
      </fill>
    </dxf>
    <dxf>
      <fill>
        <patternFill>
          <bgColor rgb="FFFFB9B9"/>
        </patternFill>
      </fill>
    </dxf>
    <dxf>
      <fill>
        <patternFill>
          <bgColor theme="9" tint="0.59996337778862885"/>
        </patternFill>
      </fill>
    </dxf>
    <dxf>
      <fill>
        <patternFill>
          <bgColor rgb="FFFFB9B9"/>
        </patternFill>
      </fill>
    </dxf>
    <dxf>
      <font>
        <color theme="0"/>
      </font>
      <fill>
        <patternFill>
          <bgColor rgb="FFFF0000"/>
        </patternFill>
      </fill>
    </dxf>
    <dxf>
      <fill>
        <patternFill>
          <bgColor theme="9" tint="0.59996337778862885"/>
        </patternFill>
      </fill>
    </dxf>
    <dxf>
      <fill>
        <patternFill>
          <bgColor rgb="FFFFB9B9"/>
        </patternFill>
      </fill>
    </dxf>
    <dxf>
      <fill>
        <patternFill>
          <bgColor rgb="FFFFB9B9"/>
        </patternFill>
      </fill>
    </dxf>
    <dxf>
      <fill>
        <patternFill>
          <bgColor theme="9" tint="0.59996337778862885"/>
        </patternFill>
      </fill>
    </dxf>
    <dxf>
      <font>
        <color theme="0"/>
      </font>
      <fill>
        <patternFill>
          <bgColor rgb="FFFF0000"/>
        </patternFill>
      </fill>
    </dxf>
    <dxf>
      <fill>
        <patternFill>
          <bgColor theme="9" tint="0.59996337778862885"/>
        </patternFill>
      </fill>
    </dxf>
    <dxf>
      <fill>
        <patternFill>
          <bgColor rgb="FFFFB9B9"/>
        </patternFill>
      </fill>
    </dxf>
    <dxf>
      <fill>
        <patternFill>
          <bgColor theme="9" tint="0.59996337778862885"/>
        </patternFill>
      </fill>
    </dxf>
    <dxf>
      <fill>
        <patternFill>
          <bgColor rgb="FFFFB9B9"/>
        </patternFill>
      </fill>
    </dxf>
    <dxf>
      <fill>
        <patternFill>
          <bgColor rgb="FFFFB9B9"/>
        </patternFill>
      </fill>
    </dxf>
    <dxf>
      <fill>
        <patternFill>
          <bgColor theme="9" tint="0.59996337778862885"/>
        </patternFill>
      </fill>
    </dxf>
    <dxf>
      <fill>
        <patternFill>
          <bgColor theme="9" tint="0.59996337778862885"/>
        </patternFill>
      </fill>
    </dxf>
    <dxf>
      <fill>
        <patternFill>
          <bgColor rgb="FFFFB9B9"/>
        </patternFill>
      </fill>
    </dxf>
    <dxf>
      <font>
        <color theme="0"/>
      </font>
      <fill>
        <patternFill>
          <bgColor rgb="FFFF0000"/>
        </patternFill>
      </fill>
    </dxf>
    <dxf>
      <fill>
        <patternFill>
          <bgColor theme="9" tint="0.59996337778862885"/>
        </patternFill>
      </fill>
    </dxf>
    <dxf>
      <fill>
        <patternFill>
          <bgColor rgb="FFFFB9B9"/>
        </patternFill>
      </fill>
    </dxf>
    <dxf>
      <fill>
        <patternFill>
          <bgColor rgb="FFFFB9B9"/>
        </patternFill>
      </fill>
    </dxf>
    <dxf>
      <fill>
        <patternFill>
          <bgColor theme="9" tint="0.59996337778862885"/>
        </patternFill>
      </fill>
    </dxf>
    <dxf>
      <font>
        <color theme="0"/>
      </font>
      <fill>
        <patternFill>
          <bgColor rgb="FFFF0000"/>
        </patternFill>
      </fill>
    </dxf>
    <dxf>
      <fill>
        <patternFill>
          <bgColor rgb="FFFFB9B9"/>
        </patternFill>
      </fill>
    </dxf>
    <dxf>
      <fill>
        <patternFill>
          <bgColor theme="9" tint="0.59996337778862885"/>
        </patternFill>
      </fill>
    </dxf>
    <dxf>
      <fill>
        <patternFill>
          <bgColor theme="9" tint="0.59996337778862885"/>
        </patternFill>
      </fill>
    </dxf>
    <dxf>
      <fill>
        <patternFill>
          <bgColor rgb="FFFFB9B9"/>
        </patternFill>
      </fill>
    </dxf>
    <dxf>
      <font>
        <color theme="0"/>
      </font>
      <fill>
        <patternFill>
          <bgColor rgb="FFFF0000"/>
        </patternFill>
      </fill>
    </dxf>
    <dxf>
      <fill>
        <patternFill>
          <bgColor theme="9" tint="0.59996337778862885"/>
        </patternFill>
      </fill>
    </dxf>
    <dxf>
      <fill>
        <patternFill>
          <bgColor rgb="FFFFB9B9"/>
        </patternFill>
      </fill>
    </dxf>
    <dxf>
      <fill>
        <patternFill>
          <bgColor rgb="FFFFB9B9"/>
        </patternFill>
      </fill>
    </dxf>
    <dxf>
      <fill>
        <patternFill>
          <bgColor theme="9" tint="0.59996337778862885"/>
        </patternFill>
      </fill>
    </dxf>
    <dxf>
      <font>
        <color theme="0"/>
      </font>
      <fill>
        <patternFill>
          <bgColor rgb="FFFF0000"/>
        </patternFill>
      </fill>
    </dxf>
    <dxf>
      <font>
        <color theme="0"/>
      </font>
    </dxf>
    <dxf>
      <fill>
        <patternFill>
          <bgColor theme="9" tint="0.59996337778862885"/>
        </patternFill>
      </fill>
    </dxf>
    <dxf>
      <fill>
        <patternFill>
          <bgColor rgb="FFFFB9B9"/>
        </patternFill>
      </fill>
    </dxf>
    <dxf>
      <fill>
        <patternFill>
          <bgColor theme="9" tint="0.59996337778862885"/>
        </patternFill>
      </fill>
    </dxf>
    <dxf>
      <fill>
        <patternFill>
          <bgColor rgb="FFFFB9B9"/>
        </patternFill>
      </fill>
    </dxf>
    <dxf>
      <fill>
        <patternFill>
          <bgColor theme="9" tint="0.59996337778862885"/>
        </patternFill>
      </fill>
    </dxf>
    <dxf>
      <fill>
        <patternFill>
          <bgColor rgb="FFFFB9B9"/>
        </patternFill>
      </fill>
    </dxf>
    <dxf>
      <fill>
        <patternFill>
          <bgColor theme="9" tint="0.59996337778862885"/>
        </patternFill>
      </fill>
    </dxf>
    <dxf>
      <fill>
        <patternFill>
          <bgColor rgb="FFFFB9B9"/>
        </patternFill>
      </fill>
    </dxf>
    <dxf>
      <font>
        <color theme="0"/>
      </font>
      <fill>
        <patternFill>
          <bgColor rgb="FFFF0000"/>
        </patternFill>
      </fill>
    </dxf>
    <dxf>
      <fill>
        <patternFill>
          <bgColor theme="9" tint="0.59996337778862885"/>
        </patternFill>
      </fill>
    </dxf>
    <dxf>
      <fill>
        <patternFill>
          <bgColor rgb="FFFFB9B9"/>
        </patternFill>
      </fill>
    </dxf>
    <dxf>
      <fill>
        <patternFill>
          <bgColor theme="9" tint="0.59996337778862885"/>
        </patternFill>
      </fill>
    </dxf>
    <dxf>
      <fill>
        <patternFill>
          <bgColor rgb="FFFFB9B9"/>
        </patternFill>
      </fill>
    </dxf>
    <dxf>
      <font>
        <b/>
        <i val="0"/>
      </font>
      <fill>
        <patternFill>
          <bgColor rgb="FFFFA3A3"/>
        </patternFill>
      </fill>
    </dxf>
    <dxf>
      <fill>
        <patternFill>
          <bgColor rgb="FFFFB9B9"/>
        </patternFill>
      </fill>
    </dxf>
    <dxf>
      <fill>
        <patternFill>
          <bgColor theme="9" tint="0.59996337778862885"/>
        </patternFill>
      </fill>
    </dxf>
    <dxf>
      <fill>
        <patternFill>
          <bgColor rgb="FFFFB9B9"/>
        </patternFill>
      </fill>
    </dxf>
    <dxf>
      <fill>
        <patternFill>
          <bgColor theme="9" tint="0.59996337778862885"/>
        </patternFill>
      </fill>
    </dxf>
    <dxf>
      <fill>
        <patternFill>
          <bgColor theme="9" tint="0.59996337778862885"/>
        </patternFill>
      </fill>
    </dxf>
    <dxf>
      <fill>
        <patternFill>
          <bgColor rgb="FFFFB9B9"/>
        </patternFill>
      </fill>
    </dxf>
    <dxf>
      <fill>
        <patternFill>
          <bgColor theme="9" tint="0.59996337778862885"/>
        </patternFill>
      </fill>
    </dxf>
    <dxf>
      <fill>
        <patternFill>
          <bgColor rgb="FFFFB9B9"/>
        </patternFill>
      </fill>
    </dxf>
    <dxf>
      <fill>
        <patternFill>
          <bgColor rgb="FFFFB9B9"/>
        </patternFill>
      </fill>
    </dxf>
    <dxf>
      <fill>
        <patternFill>
          <bgColor theme="9" tint="0.59996337778862885"/>
        </patternFill>
      </fill>
    </dxf>
    <dxf>
      <fill>
        <patternFill>
          <bgColor theme="9" tint="0.59996337778862885"/>
        </patternFill>
      </fill>
    </dxf>
    <dxf>
      <fill>
        <patternFill>
          <bgColor rgb="FFFFB9B9"/>
        </patternFill>
      </fill>
    </dxf>
    <dxf>
      <fill>
        <patternFill>
          <bgColor theme="9" tint="0.59996337778862885"/>
        </patternFill>
      </fill>
    </dxf>
    <dxf>
      <fill>
        <patternFill>
          <bgColor rgb="FFFFB9B9"/>
        </patternFill>
      </fill>
    </dxf>
    <dxf>
      <fill>
        <patternFill>
          <bgColor theme="9" tint="0.59996337778862885"/>
        </patternFill>
      </fill>
    </dxf>
    <dxf>
      <fill>
        <patternFill>
          <bgColor rgb="FFFFB9B9"/>
        </patternFill>
      </fill>
    </dxf>
    <dxf>
      <font>
        <color theme="0"/>
      </font>
      <fill>
        <patternFill>
          <bgColor rgb="FFFF0000"/>
        </patternFill>
      </fill>
    </dxf>
    <dxf>
      <fill>
        <patternFill>
          <bgColor theme="9" tint="0.59996337778862885"/>
        </patternFill>
      </fill>
    </dxf>
    <dxf>
      <font>
        <color theme="0"/>
      </font>
      <border>
        <left/>
        <right/>
        <top/>
        <bottom/>
        <vertical/>
        <horizontal/>
      </border>
    </dxf>
    <dxf>
      <fill>
        <patternFill>
          <bgColor theme="9" tint="0.59996337778862885"/>
        </patternFill>
      </fill>
    </dxf>
    <dxf>
      <fill>
        <patternFill>
          <bgColor rgb="FFFFB9B9"/>
        </patternFill>
      </fill>
    </dxf>
    <dxf>
      <fill>
        <patternFill>
          <bgColor rgb="FFFFB9B9"/>
        </patternFill>
      </fill>
    </dxf>
    <dxf>
      <fill>
        <patternFill>
          <bgColor theme="9" tint="0.59996337778862885"/>
        </patternFill>
      </fill>
    </dxf>
    <dxf>
      <fill>
        <patternFill>
          <bgColor theme="9" tint="0.59996337778862885"/>
        </patternFill>
      </fill>
    </dxf>
    <dxf>
      <fill>
        <patternFill>
          <bgColor rgb="FFFFB9B9"/>
        </patternFill>
      </fill>
    </dxf>
    <dxf>
      <fill>
        <patternFill>
          <bgColor rgb="FFFFB9B9"/>
        </patternFill>
      </fill>
    </dxf>
    <dxf>
      <fill>
        <patternFill>
          <bgColor theme="9" tint="0.59996337778862885"/>
        </patternFill>
      </fill>
    </dxf>
    <dxf>
      <fill>
        <patternFill>
          <bgColor rgb="FFFFC000"/>
        </patternFill>
      </fill>
    </dxf>
    <dxf>
      <font>
        <b/>
        <i val="0"/>
      </font>
      <fill>
        <patternFill>
          <bgColor rgb="FF92D050"/>
        </patternFill>
      </fill>
    </dxf>
    <dxf>
      <border>
        <right style="thin">
          <color auto="1"/>
        </right>
        <top/>
        <bottom/>
        <vertical/>
        <horizontal/>
      </border>
    </dxf>
    <dxf>
      <border>
        <left style="thin">
          <color auto="1"/>
        </left>
        <right/>
        <top/>
        <bottom/>
      </border>
    </dxf>
    <dxf>
      <fill>
        <patternFill>
          <bgColor rgb="FFFFB9B9"/>
        </patternFill>
      </fill>
    </dxf>
    <dxf>
      <fill>
        <patternFill>
          <bgColor theme="9" tint="0.59996337778862885"/>
        </patternFill>
      </fill>
    </dxf>
    <dxf>
      <fill>
        <patternFill>
          <bgColor theme="9" tint="0.59996337778862885"/>
        </patternFill>
      </fill>
    </dxf>
    <dxf>
      <fill>
        <patternFill>
          <bgColor rgb="FFFFB9B9"/>
        </patternFill>
      </fill>
    </dxf>
    <dxf>
      <fill>
        <patternFill>
          <bgColor theme="9" tint="0.59996337778862885"/>
        </patternFill>
      </fill>
    </dxf>
    <dxf>
      <fill>
        <patternFill>
          <bgColor rgb="FFFFB9B9"/>
        </patternFill>
      </fill>
    </dxf>
    <dxf>
      <fill>
        <patternFill>
          <bgColor rgb="FFFFB9B9"/>
        </patternFill>
      </fill>
    </dxf>
    <dxf>
      <fill>
        <patternFill>
          <bgColor theme="9" tint="0.59996337778862885"/>
        </patternFill>
      </fill>
    </dxf>
    <dxf>
      <fill>
        <patternFill>
          <bgColor theme="9" tint="0.59996337778862885"/>
        </patternFill>
      </fill>
    </dxf>
    <dxf>
      <fill>
        <patternFill>
          <bgColor rgb="FFFFB9B9"/>
        </patternFill>
      </fill>
    </dxf>
    <dxf>
      <fill>
        <patternFill>
          <bgColor rgb="FFFFB9B9"/>
        </patternFill>
      </fill>
    </dxf>
    <dxf>
      <fill>
        <patternFill>
          <bgColor theme="9" tint="0.59996337778862885"/>
        </patternFill>
      </fill>
    </dxf>
    <dxf>
      <fill>
        <patternFill>
          <bgColor theme="9" tint="0.59996337778862885"/>
        </patternFill>
      </fill>
    </dxf>
    <dxf>
      <fill>
        <patternFill>
          <bgColor rgb="FFFFB9B9"/>
        </patternFill>
      </fill>
    </dxf>
    <dxf>
      <fill>
        <patternFill>
          <bgColor theme="9" tint="0.59996337778862885"/>
        </patternFill>
      </fill>
    </dxf>
    <dxf>
      <fill>
        <patternFill>
          <bgColor rgb="FFFFB9B9"/>
        </patternFill>
      </fill>
    </dxf>
    <dxf>
      <font>
        <b/>
        <i val="0"/>
        <color theme="0"/>
      </font>
      <fill>
        <patternFill>
          <bgColor rgb="FFFF0000"/>
        </patternFill>
      </fill>
    </dxf>
    <dxf>
      <border>
        <left style="thin">
          <color auto="1"/>
        </left>
        <right style="thin">
          <color auto="1"/>
        </right>
        <top style="thin">
          <color auto="1"/>
        </top>
        <bottom style="thin">
          <color auto="1"/>
        </bottom>
        <vertical/>
        <horizontal/>
      </border>
    </dxf>
    <dxf>
      <font>
        <color theme="0"/>
      </font>
      <border>
        <left/>
        <right/>
        <top/>
        <bottom/>
        <vertical/>
        <horizontal/>
      </border>
    </dxf>
    <dxf>
      <font>
        <color theme="1"/>
      </font>
      <fill>
        <patternFill>
          <bgColor theme="9" tint="0.39994506668294322"/>
        </patternFill>
      </fill>
    </dxf>
    <dxf>
      <fill>
        <patternFill>
          <bgColor rgb="FFFFB9B9"/>
        </patternFill>
      </fill>
    </dxf>
    <dxf>
      <fill>
        <patternFill>
          <bgColor theme="9" tint="0.59996337778862885"/>
        </patternFill>
      </fill>
    </dxf>
    <dxf>
      <fill>
        <patternFill>
          <bgColor theme="9" tint="0.59996337778862885"/>
        </patternFill>
      </fill>
    </dxf>
    <dxf>
      <fill>
        <patternFill>
          <bgColor rgb="FFFFB9B9"/>
        </patternFill>
      </fill>
    </dxf>
    <dxf>
      <fill>
        <patternFill>
          <bgColor theme="9" tint="0.59996337778862885"/>
        </patternFill>
      </fill>
    </dxf>
    <dxf>
      <fill>
        <patternFill>
          <bgColor rgb="FFFFB9B9"/>
        </patternFill>
      </fill>
    </dxf>
    <dxf>
      <fill>
        <patternFill>
          <bgColor rgb="FFFFB9B9"/>
        </patternFill>
      </fill>
    </dxf>
    <dxf>
      <fill>
        <patternFill>
          <bgColor theme="9" tint="0.59996337778862885"/>
        </patternFill>
      </fill>
    </dxf>
    <dxf>
      <fill>
        <patternFill>
          <bgColor rgb="FFFFA3A3"/>
        </patternFill>
      </fill>
    </dxf>
    <dxf>
      <fill>
        <patternFill>
          <bgColor rgb="FFFFB9B9"/>
        </patternFill>
      </fill>
    </dxf>
    <dxf>
      <fill>
        <patternFill>
          <bgColor theme="9" tint="0.59996337778862885"/>
        </patternFill>
      </fill>
    </dxf>
    <dxf>
      <fill>
        <patternFill>
          <bgColor rgb="FFFFB9B9"/>
        </patternFill>
      </fill>
    </dxf>
    <dxf>
      <fill>
        <patternFill>
          <bgColor theme="9" tint="0.59996337778862885"/>
        </patternFill>
      </fill>
    </dxf>
    <dxf>
      <fill>
        <patternFill>
          <bgColor rgb="FFFFB9B9"/>
        </patternFill>
      </fill>
    </dxf>
    <dxf>
      <fill>
        <patternFill>
          <bgColor theme="9" tint="0.59996337778862885"/>
        </patternFill>
      </fill>
    </dxf>
    <dxf>
      <fill>
        <patternFill>
          <bgColor rgb="FFFFB9B9"/>
        </patternFill>
      </fill>
    </dxf>
    <dxf>
      <fill>
        <patternFill>
          <bgColor theme="9" tint="0.59996337778862885"/>
        </patternFill>
      </fill>
    </dxf>
    <dxf>
      <fill>
        <patternFill>
          <bgColor theme="9" tint="0.59996337778862885"/>
        </patternFill>
      </fill>
    </dxf>
    <dxf>
      <fill>
        <patternFill>
          <bgColor rgb="FFFFB9B9"/>
        </patternFill>
      </fill>
    </dxf>
    <dxf>
      <fill>
        <patternFill>
          <bgColor theme="9" tint="0.59996337778862885"/>
        </patternFill>
      </fill>
    </dxf>
    <dxf>
      <fill>
        <patternFill>
          <bgColor rgb="FFFFB9B9"/>
        </patternFill>
      </fill>
    </dxf>
    <dxf>
      <fill>
        <patternFill>
          <bgColor theme="0" tint="-4.9989318521683403E-2"/>
        </patternFill>
      </fill>
    </dxf>
    <dxf>
      <fill>
        <patternFill>
          <bgColor rgb="FFFF8383"/>
        </patternFill>
      </fill>
    </dxf>
    <dxf>
      <fill>
        <patternFill>
          <bgColor rgb="FFFFFF65"/>
        </patternFill>
      </fill>
    </dxf>
    <dxf>
      <fill>
        <patternFill>
          <bgColor theme="9" tint="0.39994506668294322"/>
        </patternFill>
      </fill>
    </dxf>
    <dxf>
      <fill>
        <patternFill>
          <bgColor theme="8" tint="0.39994506668294322"/>
        </patternFill>
      </fill>
    </dxf>
    <dxf>
      <fill>
        <patternFill>
          <bgColor rgb="FFFFA3A3"/>
        </patternFill>
      </fill>
    </dxf>
    <dxf>
      <fill>
        <patternFill>
          <bgColor theme="9" tint="0.59996337778862885"/>
        </patternFill>
      </fill>
    </dxf>
    <dxf>
      <fill>
        <patternFill>
          <bgColor rgb="FFFFB9B9"/>
        </patternFill>
      </fill>
    </dxf>
    <dxf>
      <fill>
        <patternFill>
          <bgColor rgb="FFFFB9B9"/>
        </patternFill>
      </fill>
    </dxf>
    <dxf>
      <fill>
        <patternFill>
          <bgColor theme="9" tint="0.59996337778862885"/>
        </patternFill>
      </fill>
    </dxf>
    <dxf>
      <fill>
        <patternFill>
          <bgColor theme="0" tint="-0.14996795556505021"/>
        </patternFill>
      </fill>
    </dxf>
    <dxf>
      <font>
        <b/>
        <i val="0"/>
      </font>
      <fill>
        <patternFill>
          <bgColor rgb="FFFFA3A3"/>
        </patternFill>
      </fill>
    </dxf>
    <dxf>
      <fill>
        <patternFill>
          <bgColor rgb="FFFFA3A3"/>
        </patternFill>
      </fill>
    </dxf>
    <dxf>
      <fill>
        <patternFill>
          <bgColor theme="8" tint="0.39994506668294322"/>
        </patternFill>
      </fill>
    </dxf>
    <dxf>
      <fill>
        <patternFill>
          <bgColor rgb="FFFF8383"/>
        </patternFill>
      </fill>
    </dxf>
    <dxf>
      <fill>
        <patternFill>
          <bgColor theme="9" tint="0.39994506668294322"/>
        </patternFill>
      </fill>
    </dxf>
    <dxf>
      <fill>
        <patternFill>
          <bgColor rgb="FFFFFF65"/>
        </patternFill>
      </fill>
    </dxf>
    <dxf>
      <fill>
        <patternFill>
          <bgColor theme="0" tint="-4.9989318521683403E-2"/>
        </patternFill>
      </fill>
    </dxf>
    <dxf>
      <fill>
        <patternFill>
          <bgColor rgb="FFFFB9B9"/>
        </patternFill>
      </fill>
    </dxf>
    <dxf>
      <fill>
        <patternFill>
          <bgColor theme="9" tint="0.59996337778862885"/>
        </patternFill>
      </fill>
    </dxf>
    <dxf>
      <fill>
        <patternFill>
          <bgColor theme="9" tint="0.59996337778862885"/>
        </patternFill>
      </fill>
    </dxf>
    <dxf>
      <fill>
        <patternFill>
          <bgColor rgb="FFFFB9B9"/>
        </patternFill>
      </fill>
    </dxf>
    <dxf>
      <fill>
        <patternFill>
          <bgColor theme="9" tint="0.39994506668294322"/>
        </patternFill>
      </fill>
    </dxf>
    <dxf>
      <fill>
        <patternFill>
          <bgColor rgb="FFFF8383"/>
        </patternFill>
      </fill>
    </dxf>
    <dxf>
      <fill>
        <patternFill>
          <bgColor theme="8" tint="0.39994506668294322"/>
        </patternFill>
      </fill>
    </dxf>
    <dxf>
      <fill>
        <patternFill>
          <bgColor theme="0" tint="-4.9989318521683403E-2"/>
        </patternFill>
      </fill>
    </dxf>
    <dxf>
      <fill>
        <patternFill>
          <bgColor rgb="FFFFFF65"/>
        </patternFill>
      </fill>
    </dxf>
    <dxf>
      <font>
        <color theme="0"/>
      </font>
      <fill>
        <patternFill>
          <bgColor rgb="FFFF0000"/>
        </patternFill>
      </fill>
    </dxf>
    <dxf>
      <fill>
        <patternFill>
          <bgColor theme="9" tint="0.59996337778862885"/>
        </patternFill>
      </fill>
    </dxf>
    <dxf>
      <fill>
        <patternFill>
          <bgColor rgb="FFFFB9B9"/>
        </patternFill>
      </fill>
    </dxf>
    <dxf>
      <fill>
        <patternFill>
          <bgColor rgb="FFFFB9B9"/>
        </patternFill>
      </fill>
    </dxf>
    <dxf>
      <fill>
        <patternFill>
          <bgColor theme="9" tint="0.59996337778862885"/>
        </patternFill>
      </fill>
    </dxf>
    <dxf>
      <font>
        <color theme="0" tint="-0.14996795556505021"/>
      </font>
      <fill>
        <patternFill>
          <bgColor theme="0" tint="-0.14996795556505021"/>
        </patternFill>
      </fill>
      <border>
        <left/>
        <right/>
        <bottom/>
        <vertical/>
        <horizontal/>
      </border>
    </dxf>
    <dxf>
      <font>
        <color theme="0" tint="-0.14996795556505021"/>
      </font>
      <fill>
        <patternFill>
          <bgColor theme="0" tint="-0.14996795556505021"/>
        </patternFill>
      </fill>
      <border>
        <left/>
        <right/>
        <bottom/>
        <vertical/>
        <horizontal/>
      </border>
    </dxf>
    <dxf>
      <font>
        <color theme="0" tint="-0.14996795556505021"/>
      </font>
      <fill>
        <patternFill>
          <bgColor theme="0" tint="-0.14996795556505021"/>
        </patternFill>
      </fill>
      <border>
        <left/>
        <vertical/>
        <horizontal/>
      </border>
    </dxf>
    <dxf>
      <font>
        <b/>
        <i val="0"/>
        <color rgb="FFFF0000"/>
      </font>
      <fill>
        <patternFill>
          <bgColor theme="0" tint="-0.14996795556505021"/>
        </patternFill>
      </fill>
    </dxf>
    <dxf>
      <fill>
        <patternFill>
          <bgColor theme="9" tint="0.59996337778862885"/>
        </patternFill>
      </fill>
    </dxf>
    <dxf>
      <fill>
        <patternFill>
          <bgColor theme="9" tint="0.59996337778862885"/>
        </patternFill>
      </fill>
    </dxf>
    <dxf>
      <font>
        <color theme="0"/>
      </font>
      <fill>
        <patternFill>
          <bgColor rgb="FFFF0000"/>
        </patternFill>
      </fill>
    </dxf>
    <dxf>
      <fill>
        <patternFill>
          <bgColor theme="9" tint="0.59996337778862885"/>
        </patternFill>
      </fill>
    </dxf>
    <dxf>
      <fill>
        <patternFill>
          <bgColor theme="9" tint="0.59996337778862885"/>
        </patternFill>
      </fill>
    </dxf>
    <dxf>
      <fill>
        <patternFill>
          <bgColor rgb="FFFFB9B9"/>
        </patternFill>
      </fill>
    </dxf>
    <dxf>
      <fill>
        <patternFill>
          <bgColor rgb="FFFFB9B9"/>
        </patternFill>
      </fill>
    </dxf>
    <dxf>
      <fill>
        <patternFill>
          <bgColor theme="9" tint="0.59996337778862885"/>
        </patternFill>
      </fill>
    </dxf>
    <dxf>
      <font>
        <b/>
        <i val="0"/>
      </font>
      <fill>
        <patternFill>
          <bgColor rgb="FFFFA3A3"/>
        </patternFill>
      </fill>
    </dxf>
    <dxf>
      <font>
        <color theme="1"/>
      </font>
    </dxf>
    <dxf>
      <font>
        <color theme="1"/>
      </font>
    </dxf>
    <dxf>
      <font>
        <color theme="0"/>
      </font>
    </dxf>
    <dxf>
      <fill>
        <patternFill>
          <bgColor theme="0" tint="-0.14996795556505021"/>
        </patternFill>
      </fill>
    </dxf>
    <dxf>
      <font>
        <b/>
        <i val="0"/>
      </font>
      <fill>
        <patternFill>
          <bgColor rgb="FFFFA3A3"/>
        </patternFill>
      </fill>
    </dxf>
    <dxf>
      <font>
        <color theme="1"/>
      </font>
      <fill>
        <patternFill>
          <bgColor rgb="FFFFA3A3"/>
        </patternFill>
      </fill>
    </dxf>
    <dxf>
      <font>
        <b/>
        <i val="0"/>
      </font>
      <fill>
        <patternFill>
          <bgColor rgb="FFFFA3A3"/>
        </patternFill>
      </fill>
    </dxf>
    <dxf>
      <font>
        <b/>
        <i val="0"/>
        <color rgb="FFFF0000"/>
      </font>
      <fill>
        <patternFill>
          <bgColor theme="0" tint="-0.24994659260841701"/>
        </patternFill>
      </fill>
    </dxf>
    <dxf>
      <font>
        <color theme="0" tint="-0.14996795556505021"/>
      </font>
    </dxf>
    <dxf>
      <fill>
        <patternFill>
          <bgColor rgb="FFFFA3A3"/>
        </patternFill>
      </fill>
    </dxf>
    <dxf>
      <fill>
        <patternFill>
          <bgColor rgb="FFFFB9B9"/>
        </patternFill>
      </fill>
    </dxf>
    <dxf>
      <fill>
        <patternFill>
          <bgColor theme="9" tint="0.59996337778862885"/>
        </patternFill>
      </fill>
    </dxf>
    <dxf>
      <fill>
        <patternFill>
          <bgColor theme="9" tint="0.59996337778862885"/>
        </patternFill>
      </fill>
    </dxf>
    <dxf>
      <fill>
        <patternFill>
          <bgColor rgb="FFFFB9B9"/>
        </patternFill>
      </fill>
    </dxf>
    <dxf>
      <fill>
        <patternFill>
          <bgColor rgb="FFFFA3A3"/>
        </patternFill>
      </fill>
    </dxf>
    <dxf>
      <font>
        <b/>
        <i val="0"/>
      </font>
      <fill>
        <patternFill>
          <bgColor rgb="FFFFA3A3"/>
        </patternFill>
      </fill>
    </dxf>
    <dxf>
      <fill>
        <patternFill>
          <bgColor theme="9" tint="0.59996337778862885"/>
        </patternFill>
      </fill>
    </dxf>
    <dxf>
      <font>
        <b/>
        <i val="0"/>
      </font>
      <fill>
        <patternFill>
          <bgColor rgb="FFFFA3A3"/>
        </patternFill>
      </fill>
    </dxf>
    <dxf>
      <fill>
        <patternFill>
          <bgColor rgb="FFFFA3A3"/>
        </patternFill>
      </fill>
    </dxf>
    <dxf>
      <font>
        <color rgb="FFFF0000"/>
      </font>
    </dxf>
    <dxf>
      <font>
        <color theme="0"/>
      </font>
      <fill>
        <patternFill patternType="none">
          <bgColor auto="1"/>
        </patternFill>
      </fill>
    </dxf>
    <dxf>
      <fill>
        <patternFill>
          <bgColor theme="9" tint="0.59996337778862885"/>
        </patternFill>
      </fill>
    </dxf>
    <dxf>
      <fill>
        <patternFill>
          <bgColor rgb="FFFFB9B9"/>
        </patternFill>
      </fill>
    </dxf>
    <dxf>
      <fill>
        <patternFill>
          <bgColor theme="9" tint="0.59996337778862885"/>
        </patternFill>
      </fill>
    </dxf>
    <dxf>
      <fill>
        <patternFill>
          <bgColor rgb="FFFFB9B9"/>
        </patternFill>
      </fill>
    </dxf>
    <dxf>
      <font>
        <color theme="0"/>
      </font>
      <fill>
        <patternFill>
          <bgColor rgb="FFFF0000"/>
        </patternFill>
      </fill>
    </dxf>
    <dxf>
      <fill>
        <patternFill>
          <bgColor theme="9" tint="0.59996337778862885"/>
        </patternFill>
      </fill>
    </dxf>
    <dxf>
      <font>
        <color theme="0"/>
      </font>
      <fill>
        <patternFill>
          <bgColor rgb="FFFF0000"/>
        </patternFill>
      </fill>
    </dxf>
    <dxf>
      <fill>
        <patternFill>
          <bgColor theme="9" tint="0.59996337778862885"/>
        </patternFill>
      </fill>
    </dxf>
    <dxf>
      <fill>
        <patternFill>
          <bgColor rgb="FFFFB9B9"/>
        </patternFill>
      </fill>
    </dxf>
    <dxf>
      <fill>
        <patternFill>
          <bgColor theme="9" tint="0.59996337778862885"/>
        </patternFill>
      </fill>
    </dxf>
    <dxf>
      <fill>
        <patternFill>
          <bgColor rgb="FFFFB9B9"/>
        </patternFill>
      </fill>
    </dxf>
    <dxf>
      <border>
        <bottom style="thin">
          <color auto="1"/>
        </bottom>
        <vertical/>
        <horizontal/>
      </border>
    </dxf>
    <dxf>
      <font>
        <color theme="0"/>
      </font>
    </dxf>
    <dxf>
      <fill>
        <patternFill>
          <bgColor theme="9" tint="0.59996337778862885"/>
        </patternFill>
      </fill>
    </dxf>
    <dxf>
      <fill>
        <patternFill>
          <bgColor rgb="FFFFB9B9"/>
        </patternFill>
      </fill>
    </dxf>
    <dxf>
      <fill>
        <patternFill>
          <bgColor theme="9" tint="0.59996337778862885"/>
        </patternFill>
      </fill>
    </dxf>
    <dxf>
      <fill>
        <patternFill>
          <bgColor rgb="FFFFB9B9"/>
        </patternFill>
      </fill>
    </dxf>
    <dxf>
      <font>
        <color theme="0"/>
      </font>
    </dxf>
    <dxf>
      <fill>
        <patternFill>
          <bgColor rgb="FFFF0000"/>
        </patternFill>
      </fill>
    </dxf>
    <dxf>
      <fill>
        <patternFill>
          <bgColor theme="7" tint="0.59996337778862885"/>
        </patternFill>
      </fill>
    </dxf>
    <dxf>
      <font>
        <color theme="0"/>
      </font>
      <fill>
        <patternFill>
          <bgColor rgb="FFFF0000"/>
        </patternFill>
      </fill>
    </dxf>
    <dxf>
      <fill>
        <patternFill>
          <bgColor theme="9" tint="0.39994506668294322"/>
        </patternFill>
      </fill>
    </dxf>
    <dxf>
      <fill>
        <patternFill>
          <bgColor theme="9" tint="0.39994506668294322"/>
        </patternFill>
      </fill>
    </dxf>
    <dxf>
      <font>
        <color theme="0"/>
      </font>
      <fill>
        <patternFill>
          <bgColor rgb="FF7030A0"/>
        </patternFill>
      </fill>
    </dxf>
    <dxf>
      <fill>
        <patternFill>
          <bgColor rgb="FFFFFF00"/>
        </patternFill>
      </fill>
    </dxf>
    <dxf>
      <fill>
        <patternFill>
          <bgColor theme="8" tint="0.39994506668294322"/>
        </patternFill>
      </fill>
    </dxf>
    <dxf>
      <fill>
        <patternFill>
          <bgColor rgb="FFFFA3A3"/>
        </patternFill>
      </fill>
    </dxf>
    <dxf>
      <fill>
        <patternFill>
          <bgColor theme="7" tint="0.59996337778862885"/>
        </patternFill>
      </fill>
    </dxf>
    <dxf>
      <fill>
        <patternFill>
          <bgColor rgb="FFFF8383"/>
        </patternFill>
      </fill>
    </dxf>
    <dxf>
      <fill>
        <patternFill>
          <bgColor theme="8" tint="0.39994506668294322"/>
        </patternFill>
      </fill>
    </dxf>
    <dxf>
      <fill>
        <patternFill>
          <bgColor theme="0" tint="-4.9989318521683403E-2"/>
        </patternFill>
      </fill>
    </dxf>
    <dxf>
      <fill>
        <patternFill>
          <bgColor theme="9" tint="0.39994506668294322"/>
        </patternFill>
      </fill>
    </dxf>
    <dxf>
      <fill>
        <patternFill>
          <bgColor rgb="FFFFFF65"/>
        </patternFill>
      </fill>
    </dxf>
    <dxf>
      <font>
        <color theme="0"/>
      </font>
    </dxf>
    <dxf>
      <font>
        <color rgb="FFFF0000"/>
      </font>
    </dxf>
    <dxf>
      <font>
        <color rgb="FFFF0000"/>
      </font>
    </dxf>
    <dxf>
      <font>
        <color theme="0"/>
      </font>
    </dxf>
    <dxf>
      <font>
        <color rgb="FFFF0000"/>
      </font>
    </dxf>
    <dxf>
      <font>
        <color rgb="FFFF0000"/>
      </font>
    </dxf>
    <dxf>
      <fill>
        <patternFill>
          <bgColor rgb="FFFFA3A3"/>
        </patternFill>
      </fill>
    </dxf>
    <dxf>
      <font>
        <color theme="0"/>
      </font>
    </dxf>
    <dxf>
      <fill>
        <patternFill>
          <bgColor theme="7" tint="0.59996337778862885"/>
        </patternFill>
      </fill>
    </dxf>
    <dxf>
      <font>
        <color theme="0"/>
      </font>
    </dxf>
    <dxf>
      <font>
        <color rgb="FFFF0000"/>
      </font>
    </dxf>
    <dxf>
      <font>
        <color theme="0"/>
      </font>
      <fill>
        <patternFill>
          <bgColor rgb="FFFF0000"/>
        </patternFill>
      </fill>
    </dxf>
    <dxf>
      <font>
        <color auto="1"/>
      </font>
      <fill>
        <patternFill>
          <bgColor theme="9" tint="0.59996337778862885"/>
        </patternFill>
      </fill>
    </dxf>
    <dxf>
      <fill>
        <patternFill>
          <bgColor rgb="FFFFA3A3"/>
        </patternFill>
      </fill>
    </dxf>
    <dxf>
      <fill>
        <patternFill>
          <bgColor theme="7" tint="0.59996337778862885"/>
        </patternFill>
      </fill>
    </dxf>
    <dxf>
      <fill>
        <patternFill>
          <bgColor theme="7" tint="0.59996337778862885"/>
        </patternFill>
      </fill>
    </dxf>
    <dxf>
      <fill>
        <patternFill>
          <bgColor theme="9" tint="0.39994506668294322"/>
        </patternFill>
      </fill>
    </dxf>
    <dxf>
      <fill>
        <patternFill>
          <bgColor rgb="FFFFFF65"/>
        </patternFill>
      </fill>
    </dxf>
    <dxf>
      <fill>
        <patternFill>
          <bgColor theme="0" tint="-4.9989318521683403E-2"/>
        </patternFill>
      </fill>
    </dxf>
    <dxf>
      <fill>
        <patternFill>
          <bgColor theme="8" tint="0.39994506668294322"/>
        </patternFill>
      </fill>
    </dxf>
    <dxf>
      <fill>
        <patternFill>
          <bgColor rgb="FFFF8383"/>
        </patternFill>
      </fill>
    </dxf>
  </dxfs>
  <tableStyles count="0" defaultTableStyle="TableStyleMedium2" defaultPivotStyle="PivotStyleLight16"/>
  <colors>
    <mruColors>
      <color rgb="FFFFA3A3"/>
      <color rgb="FFFFA2A2"/>
      <color rgb="FFFF8181"/>
      <color rgb="FFFFA3C1"/>
      <color rgb="FFFFC9C9"/>
      <color rgb="FFBF95DF"/>
      <color rgb="FFFF8F8F"/>
      <color rgb="FFFFB9B9"/>
      <color rgb="FFFF9393"/>
      <color rgb="FFFF616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3.JPG"/><Relationship Id="rId2" Type="http://schemas.openxmlformats.org/officeDocument/2006/relationships/image" Target="../media/image4.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31</xdr:col>
      <xdr:colOff>454025</xdr:colOff>
      <xdr:row>0</xdr:row>
      <xdr:rowOff>111125</xdr:rowOff>
    </xdr:from>
    <xdr:to>
      <xdr:col>35</xdr:col>
      <xdr:colOff>387886</xdr:colOff>
      <xdr:row>3</xdr:row>
      <xdr:rowOff>124967</xdr:rowOff>
    </xdr:to>
    <xdr:pic>
      <xdr:nvPicPr>
        <xdr:cNvPr id="3" name="image1.png">
          <a:extLst>
            <a:ext uri="{FF2B5EF4-FFF2-40B4-BE49-F238E27FC236}">
              <a16:creationId xmlns:a16="http://schemas.microsoft.com/office/drawing/2014/main" id="{E98B096D-5D23-4309-9509-98F7285AC0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5370175" y="111125"/>
          <a:ext cx="1896011" cy="499617"/>
        </a:xfrm>
        <a:prstGeom prst="rect">
          <a:avLst/>
        </a:prstGeom>
      </xdr:spPr>
    </xdr:pic>
    <xdr:clientData/>
  </xdr:twoCellAnchor>
  <xdr:twoCellAnchor editAs="oneCell">
    <xdr:from>
      <xdr:col>32</xdr:col>
      <xdr:colOff>104775</xdr:colOff>
      <xdr:row>4</xdr:row>
      <xdr:rowOff>161925</xdr:rowOff>
    </xdr:from>
    <xdr:to>
      <xdr:col>34</xdr:col>
      <xdr:colOff>132724</xdr:colOff>
      <xdr:row>8</xdr:row>
      <xdr:rowOff>142875</xdr:rowOff>
    </xdr:to>
    <xdr:pic>
      <xdr:nvPicPr>
        <xdr:cNvPr id="6" name="Bildobjekt 5">
          <a:extLst>
            <a:ext uri="{FF2B5EF4-FFF2-40B4-BE49-F238E27FC236}">
              <a16:creationId xmlns:a16="http://schemas.microsoft.com/office/drawing/2014/main" id="{AD618AF1-A077-71D7-6723-80B908BDFE82}"/>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5478125" y="819150"/>
          <a:ext cx="942349" cy="6953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15241</xdr:colOff>
      <xdr:row>0</xdr:row>
      <xdr:rowOff>7620</xdr:rowOff>
    </xdr:from>
    <xdr:to>
      <xdr:col>3</xdr:col>
      <xdr:colOff>167641</xdr:colOff>
      <xdr:row>3</xdr:row>
      <xdr:rowOff>148809</xdr:rowOff>
    </xdr:to>
    <xdr:pic>
      <xdr:nvPicPr>
        <xdr:cNvPr id="8" name="Afbeelding 7">
          <a:extLst>
            <a:ext uri="{FF2B5EF4-FFF2-40B4-BE49-F238E27FC236}">
              <a16:creationId xmlns:a16="http://schemas.microsoft.com/office/drawing/2014/main" id="{9387B715-6BE2-75F3-278B-C0ED57AD7D56}"/>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15241" y="7620"/>
          <a:ext cx="1318260" cy="62124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16</xdr:col>
      <xdr:colOff>190500</xdr:colOff>
      <xdr:row>0</xdr:row>
      <xdr:rowOff>102577</xdr:rowOff>
    </xdr:from>
    <xdr:to>
      <xdr:col>19</xdr:col>
      <xdr:colOff>230358</xdr:colOff>
      <xdr:row>1</xdr:row>
      <xdr:rowOff>460296</xdr:rowOff>
    </xdr:to>
    <xdr:pic>
      <xdr:nvPicPr>
        <xdr:cNvPr id="2" name="image1.png">
          <a:extLst>
            <a:ext uri="{FF2B5EF4-FFF2-40B4-BE49-F238E27FC236}">
              <a16:creationId xmlns:a16="http://schemas.microsoft.com/office/drawing/2014/main" id="{64BA0393-23CD-4860-B815-C01A55EA43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926885" y="102577"/>
          <a:ext cx="1959511" cy="509142"/>
        </a:xfrm>
        <a:prstGeom prst="rect">
          <a:avLst/>
        </a:prstGeom>
      </xdr:spPr>
    </xdr:pic>
    <xdr:clientData/>
  </xdr:twoCellAnchor>
  <xdr:twoCellAnchor editAs="oneCell">
    <xdr:from>
      <xdr:col>16</xdr:col>
      <xdr:colOff>228600</xdr:colOff>
      <xdr:row>2</xdr:row>
      <xdr:rowOff>38100</xdr:rowOff>
    </xdr:from>
    <xdr:to>
      <xdr:col>17</xdr:col>
      <xdr:colOff>580869</xdr:colOff>
      <xdr:row>5</xdr:row>
      <xdr:rowOff>47625</xdr:rowOff>
    </xdr:to>
    <xdr:pic>
      <xdr:nvPicPr>
        <xdr:cNvPr id="5" name="Bildobjekt 4">
          <a:extLst>
            <a:ext uri="{FF2B5EF4-FFF2-40B4-BE49-F238E27FC236}">
              <a16:creationId xmlns:a16="http://schemas.microsoft.com/office/drawing/2014/main" id="{0850ECE3-7894-2404-0FE8-7C319BEE344D}"/>
            </a:ext>
          </a:extLst>
        </xdr:cNvPr>
        <xdr:cNvPicPr>
          <a:picLocks noChangeAspect="1"/>
        </xdr:cNvPicPr>
      </xdr:nvPicPr>
      <xdr:blipFill>
        <a:blip xmlns:r="http://schemas.openxmlformats.org/officeDocument/2006/relationships" r:embed="rId2"/>
        <a:stretch>
          <a:fillRect/>
        </a:stretch>
      </xdr:blipFill>
      <xdr:spPr>
        <a:xfrm>
          <a:off x="10477500" y="695325"/>
          <a:ext cx="961869" cy="733425"/>
        </a:xfrm>
        <a:prstGeom prst="rect">
          <a:avLst/>
        </a:prstGeom>
      </xdr:spPr>
    </xdr:pic>
    <xdr:clientData/>
  </xdr:twoCellAnchor>
  <xdr:twoCellAnchor editAs="oneCell">
    <xdr:from>
      <xdr:col>0</xdr:col>
      <xdr:colOff>22861</xdr:colOff>
      <xdr:row>0</xdr:row>
      <xdr:rowOff>30481</xdr:rowOff>
    </xdr:from>
    <xdr:to>
      <xdr:col>1</xdr:col>
      <xdr:colOff>792480</xdr:colOff>
      <xdr:row>2</xdr:row>
      <xdr:rowOff>158006</xdr:rowOff>
    </xdr:to>
    <xdr:pic>
      <xdr:nvPicPr>
        <xdr:cNvPr id="8" name="Afbeelding 7">
          <a:extLst>
            <a:ext uri="{FF2B5EF4-FFF2-40B4-BE49-F238E27FC236}">
              <a16:creationId xmlns:a16="http://schemas.microsoft.com/office/drawing/2014/main" id="{57E594EF-B2B4-BC7C-9F8D-D22485608D7E}"/>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22861" y="30481"/>
          <a:ext cx="1661159" cy="782845"/>
        </a:xfrm>
        <a:prstGeom prst="rect">
          <a:avLst/>
        </a:prstGeom>
      </xdr:spPr>
    </xdr:pic>
    <xdr:clientData/>
  </xdr:twoCellAnchor>
</xdr:wsDr>
</file>

<file path=xl/theme/theme1.xml><?xml version="1.0" encoding="utf-8"?>
<a:theme xmlns:a="http://schemas.openxmlformats.org/drawingml/2006/main" name="Office-t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1"/>
  <dimension ref="A1:J44"/>
  <sheetViews>
    <sheetView workbookViewId="0"/>
  </sheetViews>
  <sheetFormatPr defaultRowHeight="14.4" x14ac:dyDescent="0.3"/>
  <cols>
    <col min="1" max="1" width="42" customWidth="1"/>
    <col min="6" max="6" width="2.6640625" customWidth="1"/>
  </cols>
  <sheetData>
    <row r="1" spans="1:1" ht="21" x14ac:dyDescent="0.35">
      <c r="A1" s="124" t="s">
        <v>1280</v>
      </c>
    </row>
    <row r="2" spans="1:1" ht="21" x14ac:dyDescent="0.35">
      <c r="A2" s="124"/>
    </row>
    <row r="3" spans="1:1" ht="15.75" x14ac:dyDescent="0.25">
      <c r="A3" s="157" t="s">
        <v>1391</v>
      </c>
    </row>
    <row r="4" spans="1:1" ht="15" x14ac:dyDescent="0.25">
      <c r="A4" s="132" t="s">
        <v>1286</v>
      </c>
    </row>
    <row r="5" spans="1:1" ht="15" x14ac:dyDescent="0.25">
      <c r="A5" t="s">
        <v>1277</v>
      </c>
    </row>
    <row r="6" spans="1:1" ht="15" x14ac:dyDescent="0.25">
      <c r="A6" t="s">
        <v>1264</v>
      </c>
    </row>
    <row r="7" spans="1:1" ht="15" x14ac:dyDescent="0.25">
      <c r="A7" t="s">
        <v>1477</v>
      </c>
    </row>
    <row r="8" spans="1:1" ht="15" x14ac:dyDescent="0.25">
      <c r="A8" t="s">
        <v>2004</v>
      </c>
    </row>
    <row r="9" spans="1:1" ht="15" x14ac:dyDescent="0.25">
      <c r="A9" t="s">
        <v>1480</v>
      </c>
    </row>
    <row r="10" spans="1:1" ht="15" x14ac:dyDescent="0.25">
      <c r="A10" t="s">
        <v>1265</v>
      </c>
    </row>
    <row r="11" spans="1:1" ht="15" x14ac:dyDescent="0.25">
      <c r="A11" t="s">
        <v>2005</v>
      </c>
    </row>
    <row r="12" spans="1:1" ht="15" x14ac:dyDescent="0.25">
      <c r="A12" t="s">
        <v>1267</v>
      </c>
    </row>
    <row r="13" spans="1:1" ht="15" x14ac:dyDescent="0.25">
      <c r="A13" t="s">
        <v>1266</v>
      </c>
    </row>
    <row r="14" spans="1:1" ht="15" x14ac:dyDescent="0.25">
      <c r="A14" t="s">
        <v>1268</v>
      </c>
    </row>
    <row r="16" spans="1:1" ht="15" x14ac:dyDescent="0.25">
      <c r="A16" t="s">
        <v>2006</v>
      </c>
    </row>
    <row r="17" spans="1:10" ht="15" x14ac:dyDescent="0.25">
      <c r="A17" t="s">
        <v>1269</v>
      </c>
    </row>
    <row r="18" spans="1:10" ht="15" x14ac:dyDescent="0.25">
      <c r="A18" t="s">
        <v>1272</v>
      </c>
    </row>
    <row r="19" spans="1:10" x14ac:dyDescent="0.3">
      <c r="A19" s="155" t="s">
        <v>2007</v>
      </c>
    </row>
    <row r="20" spans="1:10" x14ac:dyDescent="0.3">
      <c r="A20" t="s">
        <v>1270</v>
      </c>
    </row>
    <row r="21" spans="1:10" x14ac:dyDescent="0.3">
      <c r="A21" s="155" t="s">
        <v>2008</v>
      </c>
    </row>
    <row r="22" spans="1:10" x14ac:dyDescent="0.3">
      <c r="A22" t="s">
        <v>2009</v>
      </c>
    </row>
    <row r="23" spans="1:10" x14ac:dyDescent="0.3">
      <c r="A23" s="155" t="s">
        <v>2008</v>
      </c>
    </row>
    <row r="25" spans="1:10" x14ac:dyDescent="0.3">
      <c r="A25" t="s">
        <v>2010</v>
      </c>
    </row>
    <row r="26" spans="1:10" x14ac:dyDescent="0.3">
      <c r="A26" s="242" t="s">
        <v>2013</v>
      </c>
      <c r="B26" s="242"/>
      <c r="C26" s="242"/>
      <c r="D26" s="242"/>
      <c r="E26" s="242"/>
      <c r="F26" s="242"/>
      <c r="G26" s="242"/>
      <c r="H26" s="242"/>
      <c r="I26" s="242"/>
      <c r="J26" s="242"/>
    </row>
    <row r="27" spans="1:10" x14ac:dyDescent="0.3">
      <c r="A27" s="243" t="s">
        <v>2014</v>
      </c>
      <c r="B27" s="243"/>
      <c r="C27" s="243"/>
      <c r="D27" s="243"/>
      <c r="E27" s="243"/>
      <c r="F27" s="243"/>
      <c r="G27" s="243"/>
      <c r="H27" s="243"/>
      <c r="I27" s="243"/>
      <c r="J27" s="243"/>
    </row>
    <row r="28" spans="1:10" x14ac:dyDescent="0.3">
      <c r="A28" t="s">
        <v>2015</v>
      </c>
    </row>
    <row r="29" spans="1:10" x14ac:dyDescent="0.3">
      <c r="A29" s="239" t="s">
        <v>2011</v>
      </c>
      <c r="B29" s="239"/>
      <c r="C29" s="239"/>
      <c r="D29" s="239"/>
      <c r="E29" s="239"/>
      <c r="F29" s="239"/>
      <c r="G29" s="239"/>
      <c r="H29" s="239"/>
      <c r="I29" s="239"/>
      <c r="J29" s="239"/>
    </row>
    <row r="30" spans="1:10" x14ac:dyDescent="0.3">
      <c r="A30" t="s">
        <v>1271</v>
      </c>
    </row>
    <row r="31" spans="1:10" x14ac:dyDescent="0.3">
      <c r="A31" t="s">
        <v>2012</v>
      </c>
    </row>
    <row r="32" spans="1:10" x14ac:dyDescent="0.3">
      <c r="A32" t="s">
        <v>2016</v>
      </c>
    </row>
    <row r="33" spans="1:1" x14ac:dyDescent="0.3">
      <c r="A33" t="s">
        <v>1273</v>
      </c>
    </row>
    <row r="34" spans="1:1" x14ac:dyDescent="0.3">
      <c r="A34" t="s">
        <v>1274</v>
      </c>
    </row>
    <row r="35" spans="1:1" x14ac:dyDescent="0.3">
      <c r="A35" t="s">
        <v>1275</v>
      </c>
    </row>
    <row r="36" spans="1:1" x14ac:dyDescent="0.3">
      <c r="A36" t="s">
        <v>1276</v>
      </c>
    </row>
    <row r="37" spans="1:1" x14ac:dyDescent="0.3">
      <c r="A37" t="s">
        <v>1278</v>
      </c>
    </row>
    <row r="40" spans="1:1" ht="15.6" x14ac:dyDescent="0.3">
      <c r="A40" s="157" t="s">
        <v>2019</v>
      </c>
    </row>
    <row r="41" spans="1:1" x14ac:dyDescent="0.3">
      <c r="A41" t="s">
        <v>1481</v>
      </c>
    </row>
    <row r="42" spans="1:1" x14ac:dyDescent="0.3">
      <c r="A42" t="s">
        <v>1279</v>
      </c>
    </row>
    <row r="43" spans="1:1" x14ac:dyDescent="0.3">
      <c r="A43" t="s">
        <v>2017</v>
      </c>
    </row>
    <row r="44" spans="1:1" x14ac:dyDescent="0.3">
      <c r="A44" t="s">
        <v>2018</v>
      </c>
    </row>
  </sheetData>
  <sheetProtection algorithmName="SHA-512" hashValue="l0PpVEC+s5NXyAf6yq4wNrjl3QCfUyMhLZnUCZ2fYQGBy7z+mxY03yiQvQAoBXwrAau4oAKNZmYoZ8SgkMW9SA==" saltValue="aDyd1YUgJxW9hxDIxO6t0w==" spinCount="100000" sheet="1" objects="1" scenarios="1"/>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Blad2">
    <pageSetUpPr fitToPage="1"/>
  </sheetPr>
  <dimension ref="A1:FV105"/>
  <sheetViews>
    <sheetView tabSelected="1" zoomScaleNormal="100" workbookViewId="0">
      <selection activeCell="F19" sqref="F19"/>
    </sheetView>
  </sheetViews>
  <sheetFormatPr defaultColWidth="8.88671875" defaultRowHeight="13.2" x14ac:dyDescent="0.3"/>
  <cols>
    <col min="1" max="4" width="5.6640625" style="16" customWidth="1"/>
    <col min="5" max="5" width="4.6640625" style="16" customWidth="1"/>
    <col min="6" max="6" width="29" style="12" bestFit="1" customWidth="1"/>
    <col min="7" max="8" width="7.6640625" style="16" customWidth="1"/>
    <col min="9" max="9" width="7.6640625" style="12" customWidth="1"/>
    <col min="10" max="29" width="6.88671875" style="12" customWidth="1"/>
    <col min="30" max="30" width="8.44140625" style="12" customWidth="1"/>
    <col min="31" max="31" width="9.33203125" style="12" customWidth="1"/>
    <col min="32" max="32" width="7.88671875" style="12" customWidth="1"/>
    <col min="33" max="34" width="6.88671875" style="12" customWidth="1"/>
    <col min="35" max="37" width="7.88671875" style="12" customWidth="1"/>
    <col min="38" max="38" width="10.5546875" style="111" customWidth="1"/>
    <col min="39" max="45" width="8.88671875" style="111" customWidth="1"/>
    <col min="46" max="51" width="8.88671875" style="111" hidden="1" customWidth="1"/>
    <col min="52" max="52" width="19.88671875" style="111" hidden="1" customWidth="1"/>
    <col min="53" max="63" width="8.88671875" style="111" hidden="1" customWidth="1"/>
    <col min="64" max="64" width="15.44140625" style="111" hidden="1" customWidth="1"/>
    <col min="65" max="66" width="8.88671875" style="111" hidden="1" customWidth="1"/>
    <col min="67" max="67" width="40.6640625" style="111" hidden="1" customWidth="1"/>
    <col min="68" max="68" width="10.109375" style="111" hidden="1" customWidth="1"/>
    <col min="69" max="69" width="8.88671875" style="111" hidden="1" customWidth="1"/>
    <col min="70" max="71" width="12.33203125" style="111" hidden="1" customWidth="1"/>
    <col min="72" max="72" width="11.88671875" style="111" hidden="1" customWidth="1"/>
    <col min="73" max="78" width="8.88671875" style="111" hidden="1" customWidth="1"/>
    <col min="79" max="128" width="8.88671875" style="108" hidden="1" customWidth="1"/>
    <col min="129" max="164" width="8.88671875" style="111" hidden="1" customWidth="1"/>
    <col min="165" max="165" width="13.88671875" style="111" hidden="1" customWidth="1"/>
    <col min="166" max="169" width="8.88671875" style="111" hidden="1" customWidth="1"/>
    <col min="170" max="170" width="10.109375" style="12" hidden="1" customWidth="1"/>
    <col min="171" max="174" width="8.88671875" style="12" hidden="1" customWidth="1"/>
    <col min="175" max="178" width="8.88671875" style="12" customWidth="1"/>
    <col min="179" max="16384" width="8.88671875" style="12"/>
  </cols>
  <sheetData>
    <row r="1" spans="1:174" ht="12.75" customHeight="1" x14ac:dyDescent="0.3">
      <c r="A1" s="10"/>
      <c r="B1" s="10"/>
      <c r="C1" s="10"/>
      <c r="D1" s="10"/>
      <c r="E1" s="10"/>
      <c r="F1" s="11"/>
      <c r="G1" s="280" t="s">
        <v>0</v>
      </c>
      <c r="H1" s="280"/>
      <c r="I1" s="280"/>
      <c r="J1" s="280"/>
      <c r="K1" s="280"/>
      <c r="L1" s="280"/>
      <c r="M1" s="280"/>
      <c r="N1" s="280"/>
      <c r="O1" s="280"/>
      <c r="P1" s="280"/>
      <c r="Q1" s="280"/>
      <c r="R1" s="280"/>
      <c r="S1" s="280"/>
      <c r="T1" s="280"/>
      <c r="U1" s="280"/>
      <c r="V1" s="280"/>
      <c r="W1" s="280"/>
      <c r="X1" s="280"/>
      <c r="Y1" s="280"/>
      <c r="Z1" s="280"/>
      <c r="AA1" s="280"/>
      <c r="AB1" s="280"/>
      <c r="AC1" s="280"/>
      <c r="AD1" s="187"/>
      <c r="AE1" s="11"/>
      <c r="AF1" s="75"/>
      <c r="AG1" s="139"/>
      <c r="AH1" s="139"/>
      <c r="AI1" s="139"/>
      <c r="AJ1" s="139"/>
      <c r="AK1" s="139"/>
      <c r="AL1" s="110"/>
      <c r="AM1" s="110"/>
      <c r="AN1" s="110"/>
      <c r="AO1" s="110"/>
      <c r="AP1" s="110"/>
      <c r="AQ1" s="110"/>
      <c r="AR1" s="110"/>
      <c r="AS1" s="110"/>
      <c r="AT1" s="144"/>
      <c r="AU1" s="144"/>
      <c r="AV1" s="144"/>
      <c r="AW1" s="144"/>
      <c r="AX1" s="144"/>
      <c r="AY1" s="144"/>
      <c r="AZ1" s="144"/>
      <c r="BA1" s="144"/>
      <c r="BB1" s="144"/>
      <c r="BC1" s="144"/>
      <c r="BD1" s="144"/>
      <c r="BE1" s="144"/>
      <c r="BF1" s="144"/>
      <c r="BG1" s="144"/>
      <c r="BH1" s="144"/>
      <c r="BI1" s="144"/>
      <c r="BJ1" s="144"/>
      <c r="BK1" s="144"/>
      <c r="BL1" s="144"/>
      <c r="BM1" s="144"/>
      <c r="BN1" s="144"/>
      <c r="BO1" s="144"/>
      <c r="BP1" s="144"/>
      <c r="BQ1" s="145"/>
      <c r="BR1" s="146"/>
      <c r="BS1" s="146"/>
      <c r="BT1" s="146"/>
      <c r="BU1" s="146"/>
      <c r="BV1" s="146"/>
      <c r="BW1" s="146"/>
      <c r="BX1" s="146"/>
      <c r="BY1" s="146"/>
      <c r="BZ1" s="146"/>
      <c r="CA1" s="146"/>
      <c r="CB1" s="146"/>
      <c r="CC1" s="146"/>
      <c r="CD1" s="147"/>
      <c r="CE1" s="147"/>
      <c r="CF1" s="147"/>
      <c r="CG1" s="147"/>
      <c r="CH1" s="147"/>
      <c r="CI1" s="147"/>
      <c r="CJ1" s="147"/>
      <c r="CK1" s="147"/>
      <c r="CL1" s="147"/>
      <c r="CM1" s="147"/>
      <c r="CN1" s="147"/>
      <c r="CO1" s="147"/>
      <c r="CP1" s="147"/>
      <c r="CQ1" s="147"/>
      <c r="CR1" s="147"/>
      <c r="CS1" s="147"/>
      <c r="CT1" s="147"/>
      <c r="CU1" s="147"/>
      <c r="CV1" s="147"/>
      <c r="CW1" s="147"/>
      <c r="CX1" s="147"/>
      <c r="CY1" s="147"/>
      <c r="CZ1" s="147"/>
      <c r="DA1" s="147"/>
      <c r="DB1" s="147"/>
      <c r="DC1" s="147"/>
      <c r="DD1" s="147"/>
      <c r="DE1" s="147"/>
      <c r="DF1" s="147"/>
      <c r="DG1" s="147"/>
      <c r="DH1" s="147"/>
      <c r="DI1" s="147"/>
      <c r="DJ1" s="147"/>
      <c r="DK1" s="147"/>
      <c r="DL1" s="147"/>
      <c r="DM1" s="147"/>
      <c r="DN1" s="147"/>
      <c r="DO1" s="147"/>
      <c r="DP1" s="147"/>
      <c r="DQ1" s="147"/>
      <c r="DR1" s="147"/>
      <c r="DS1" s="147"/>
      <c r="DT1" s="147"/>
      <c r="DU1" s="147"/>
      <c r="DV1" s="147"/>
      <c r="DW1" s="147"/>
      <c r="DX1" s="147"/>
      <c r="DY1" s="147"/>
      <c r="DZ1" s="147"/>
      <c r="EA1" s="147"/>
      <c r="EB1" s="147"/>
      <c r="EC1" s="147"/>
      <c r="ED1" s="147"/>
      <c r="EE1" s="147"/>
      <c r="EF1" s="147"/>
      <c r="EG1" s="147"/>
      <c r="EH1" s="147"/>
      <c r="EI1" s="147"/>
      <c r="EJ1" s="147"/>
      <c r="EK1" s="147"/>
      <c r="EL1" s="147"/>
      <c r="EM1" s="147"/>
      <c r="EN1" s="147"/>
      <c r="EO1" s="147"/>
      <c r="EP1" s="147"/>
      <c r="EQ1" s="147"/>
      <c r="ER1" s="147"/>
      <c r="ES1" s="147"/>
      <c r="ET1" s="147"/>
      <c r="EU1" s="147"/>
      <c r="EV1" s="147"/>
      <c r="EW1" s="147"/>
      <c r="EX1" s="147"/>
      <c r="EY1" s="147"/>
      <c r="EZ1" s="147"/>
      <c r="FA1" s="147"/>
      <c r="FB1" s="147"/>
      <c r="FC1" s="147"/>
      <c r="FD1" s="147"/>
      <c r="FE1" s="147"/>
      <c r="FF1" s="147"/>
      <c r="FG1" s="147"/>
      <c r="FH1" s="147"/>
      <c r="FI1" s="147"/>
      <c r="FJ1" s="147"/>
      <c r="FK1" s="146"/>
      <c r="FL1" s="146"/>
      <c r="FM1" s="146"/>
      <c r="FN1" s="146"/>
      <c r="FO1" s="148"/>
      <c r="FP1" s="148"/>
      <c r="FQ1" s="148"/>
      <c r="FR1" s="148"/>
    </row>
    <row r="2" spans="1:174" ht="12.75" customHeight="1" x14ac:dyDescent="0.3">
      <c r="A2" s="10"/>
      <c r="B2" s="10"/>
      <c r="C2" s="10"/>
      <c r="D2" s="10"/>
      <c r="E2" s="10"/>
      <c r="F2" s="11"/>
      <c r="G2" s="280"/>
      <c r="H2" s="280"/>
      <c r="I2" s="280"/>
      <c r="J2" s="280"/>
      <c r="K2" s="280"/>
      <c r="L2" s="280"/>
      <c r="M2" s="280"/>
      <c r="N2" s="280"/>
      <c r="O2" s="280"/>
      <c r="P2" s="280"/>
      <c r="Q2" s="280"/>
      <c r="R2" s="280"/>
      <c r="S2" s="280"/>
      <c r="T2" s="280"/>
      <c r="U2" s="280"/>
      <c r="V2" s="280"/>
      <c r="W2" s="280"/>
      <c r="X2" s="280"/>
      <c r="Y2" s="280"/>
      <c r="Z2" s="280"/>
      <c r="AA2" s="280"/>
      <c r="AB2" s="280"/>
      <c r="AC2" s="280"/>
      <c r="AD2" s="187"/>
      <c r="AE2" s="11"/>
      <c r="AF2" s="75"/>
      <c r="AG2" s="139"/>
      <c r="AH2" s="139"/>
      <c r="AI2" s="139"/>
      <c r="AJ2" s="139"/>
      <c r="AK2" s="139"/>
      <c r="AL2" s="110"/>
      <c r="AM2" s="110"/>
      <c r="AN2" s="110"/>
      <c r="AO2" s="110"/>
      <c r="AP2" s="110"/>
      <c r="AQ2" s="110"/>
      <c r="AR2" s="110"/>
      <c r="AS2" s="110"/>
      <c r="AT2" s="110"/>
      <c r="AU2" s="110"/>
      <c r="AV2" s="110"/>
      <c r="AW2" s="110"/>
      <c r="AX2" s="110"/>
      <c r="AY2" s="110"/>
      <c r="AZ2" s="110"/>
      <c r="BA2" s="110"/>
      <c r="BB2" s="110"/>
      <c r="BC2" s="110"/>
      <c r="BD2" s="110"/>
      <c r="BE2" s="110"/>
      <c r="BF2" s="110"/>
      <c r="BG2" s="110"/>
      <c r="BH2" s="110"/>
      <c r="BI2" s="110"/>
      <c r="BJ2" s="110"/>
      <c r="BK2" s="110"/>
      <c r="BL2" s="110"/>
      <c r="BM2" s="110"/>
      <c r="BN2" s="110"/>
      <c r="BO2" s="110"/>
      <c r="BP2" s="110"/>
      <c r="BQ2" s="138"/>
      <c r="BU2" s="250" t="s">
        <v>1673</v>
      </c>
      <c r="BV2" s="250"/>
      <c r="BX2" s="250" t="s">
        <v>2003</v>
      </c>
      <c r="BY2" s="250"/>
      <c r="BZ2" s="250"/>
      <c r="CA2" s="250"/>
      <c r="CB2" s="111"/>
      <c r="CC2" s="111"/>
      <c r="DY2" s="108"/>
      <c r="DZ2" s="108"/>
      <c r="EA2" s="108"/>
      <c r="EB2" s="108"/>
      <c r="EC2" s="108"/>
      <c r="ED2" s="108"/>
      <c r="EE2" s="108"/>
      <c r="EF2" s="108"/>
      <c r="EG2" s="108"/>
      <c r="EH2" s="108"/>
      <c r="EI2" s="108"/>
      <c r="EJ2" s="108"/>
      <c r="EK2" s="108"/>
      <c r="EL2" s="108"/>
      <c r="EM2" s="108"/>
      <c r="EN2" s="108"/>
      <c r="EO2" s="108"/>
      <c r="EP2" s="108"/>
      <c r="EQ2" s="108"/>
      <c r="ER2" s="108"/>
      <c r="ES2" s="108"/>
      <c r="ET2" s="108"/>
      <c r="EU2" s="108"/>
      <c r="EV2" s="108"/>
      <c r="EW2" s="108"/>
      <c r="EX2" s="108"/>
      <c r="EY2" s="108"/>
      <c r="EZ2" s="108"/>
      <c r="FA2" s="108"/>
      <c r="FB2" s="108"/>
      <c r="FC2" s="108"/>
      <c r="FD2" s="108"/>
      <c r="FE2" s="108"/>
      <c r="FF2" s="108"/>
      <c r="FG2" s="108"/>
      <c r="FH2" s="108"/>
      <c r="FI2" s="108"/>
      <c r="FJ2" s="108"/>
      <c r="FN2" s="111"/>
    </row>
    <row r="3" spans="1:174" ht="12.75" customHeight="1" x14ac:dyDescent="0.3">
      <c r="A3" s="10"/>
      <c r="B3" s="10"/>
      <c r="C3" s="10"/>
      <c r="D3" s="10"/>
      <c r="E3" s="10"/>
      <c r="F3" s="11"/>
      <c r="G3" s="280"/>
      <c r="H3" s="280"/>
      <c r="I3" s="280"/>
      <c r="J3" s="280"/>
      <c r="K3" s="280"/>
      <c r="L3" s="280"/>
      <c r="M3" s="280"/>
      <c r="N3" s="280"/>
      <c r="O3" s="280"/>
      <c r="P3" s="280"/>
      <c r="Q3" s="280"/>
      <c r="R3" s="280"/>
      <c r="S3" s="280"/>
      <c r="T3" s="280"/>
      <c r="U3" s="280"/>
      <c r="V3" s="280"/>
      <c r="W3" s="280"/>
      <c r="X3" s="280"/>
      <c r="Y3" s="280"/>
      <c r="Z3" s="280"/>
      <c r="AA3" s="280"/>
      <c r="AB3" s="280"/>
      <c r="AC3" s="280"/>
      <c r="AD3" s="187"/>
      <c r="AE3" s="11"/>
      <c r="AF3" s="75"/>
      <c r="AG3" s="139"/>
      <c r="AH3" s="139"/>
      <c r="AI3" s="139"/>
      <c r="AJ3" s="139"/>
      <c r="AK3" s="139"/>
      <c r="AL3" s="110"/>
      <c r="AM3" s="110"/>
      <c r="AN3" s="110"/>
      <c r="AO3" s="110"/>
      <c r="AP3" s="110"/>
      <c r="AQ3" s="110"/>
      <c r="AR3" s="110"/>
      <c r="AS3" s="110"/>
      <c r="AT3" s="110"/>
      <c r="AU3" s="110"/>
      <c r="AV3" s="110"/>
      <c r="AW3" s="110"/>
      <c r="AX3" s="110"/>
      <c r="AY3" s="110"/>
      <c r="AZ3" s="110"/>
      <c r="BA3" s="110"/>
      <c r="BB3" s="110"/>
      <c r="BC3" s="110"/>
      <c r="BD3" s="110"/>
      <c r="BE3" s="110"/>
      <c r="BF3" s="110"/>
      <c r="BG3" s="110"/>
      <c r="BH3" s="110"/>
      <c r="BI3" s="110"/>
      <c r="BJ3" s="110"/>
      <c r="BK3" s="110"/>
      <c r="BL3" s="110"/>
      <c r="BM3" s="110"/>
      <c r="BN3" s="110"/>
      <c r="BO3" s="110"/>
      <c r="BP3" s="110"/>
      <c r="BQ3" s="138"/>
      <c r="BR3" s="111" t="s">
        <v>1897</v>
      </c>
      <c r="BS3" s="111" t="str">
        <f>IF(COUNTIF(F8,"*Acro*"),"Yes","No")</f>
        <v>No</v>
      </c>
      <c r="BU3" s="178">
        <v>3</v>
      </c>
      <c r="BV3" s="178">
        <v>0</v>
      </c>
      <c r="BX3" s="178"/>
      <c r="BY3" s="178" t="s">
        <v>1821</v>
      </c>
      <c r="BZ3" s="178">
        <v>12</v>
      </c>
      <c r="CA3" s="178" t="s">
        <v>1822</v>
      </c>
      <c r="CB3" s="111"/>
      <c r="CC3" s="111"/>
      <c r="DY3" s="108"/>
      <c r="DZ3" s="108"/>
      <c r="EA3" s="108"/>
      <c r="EB3" s="108"/>
      <c r="EC3" s="108"/>
      <c r="ED3" s="108"/>
      <c r="EE3" s="108"/>
      <c r="EF3" s="108"/>
      <c r="EG3" s="108"/>
      <c r="EH3" s="108"/>
      <c r="EI3" s="108"/>
      <c r="EJ3" s="108"/>
      <c r="EK3" s="108"/>
      <c r="EL3" s="108"/>
      <c r="EM3" s="108"/>
      <c r="EN3" s="108"/>
      <c r="EO3" s="108"/>
      <c r="EP3" s="108"/>
      <c r="EQ3" s="108"/>
      <c r="ER3" s="108"/>
      <c r="ES3" s="108"/>
      <c r="ET3" s="108"/>
      <c r="EU3" s="108"/>
      <c r="EV3" s="108"/>
      <c r="EW3" s="108"/>
      <c r="EX3" s="108"/>
      <c r="EY3" s="108"/>
      <c r="EZ3" s="108"/>
      <c r="FA3" s="108"/>
      <c r="FB3" s="108"/>
      <c r="FC3" s="108"/>
      <c r="FD3" s="108"/>
      <c r="FE3" s="108"/>
      <c r="FF3" s="108"/>
      <c r="FG3" s="108"/>
      <c r="FH3" s="108"/>
      <c r="FI3" s="108"/>
      <c r="FJ3" s="108"/>
      <c r="FN3" s="111"/>
    </row>
    <row r="4" spans="1:174" ht="13.5" customHeight="1" thickBot="1" x14ac:dyDescent="0.35">
      <c r="A4" s="10"/>
      <c r="B4" s="10"/>
      <c r="C4" s="10"/>
      <c r="D4" s="10"/>
      <c r="E4" s="10"/>
      <c r="F4" s="11"/>
      <c r="G4" s="280"/>
      <c r="H4" s="280"/>
      <c r="I4" s="280"/>
      <c r="J4" s="280"/>
      <c r="K4" s="280"/>
      <c r="L4" s="280"/>
      <c r="M4" s="280"/>
      <c r="N4" s="280"/>
      <c r="O4" s="280"/>
      <c r="P4" s="280"/>
      <c r="Q4" s="280"/>
      <c r="R4" s="280"/>
      <c r="S4" s="280"/>
      <c r="T4" s="280"/>
      <c r="U4" s="280"/>
      <c r="V4" s="280"/>
      <c r="W4" s="280"/>
      <c r="X4" s="280"/>
      <c r="Y4" s="280"/>
      <c r="Z4" s="280"/>
      <c r="AA4" s="280"/>
      <c r="AB4" s="280"/>
      <c r="AC4" s="280"/>
      <c r="AD4" s="187"/>
      <c r="AE4" s="142" t="s">
        <v>2036</v>
      </c>
      <c r="AF4" s="75"/>
      <c r="AG4" s="139"/>
      <c r="AH4" s="139"/>
      <c r="AI4" s="139"/>
      <c r="AJ4" s="139"/>
      <c r="AK4" s="139"/>
      <c r="AL4" s="110"/>
      <c r="AM4" s="110"/>
      <c r="AN4" s="110"/>
      <c r="AO4" s="110"/>
      <c r="AP4" s="110"/>
      <c r="AQ4" s="110"/>
      <c r="AR4" s="110"/>
      <c r="AS4" s="110"/>
      <c r="AT4" s="110"/>
      <c r="AU4" s="110"/>
      <c r="AV4" s="110"/>
      <c r="AW4" s="110"/>
      <c r="AX4" s="110"/>
      <c r="AY4" s="110"/>
      <c r="AZ4" s="110"/>
      <c r="BA4" s="110"/>
      <c r="BB4" s="110"/>
      <c r="BC4" s="110"/>
      <c r="BD4" s="110"/>
      <c r="BE4" s="110"/>
      <c r="BF4" s="110"/>
      <c r="BG4" s="110"/>
      <c r="BH4" s="110"/>
      <c r="BI4" s="110"/>
      <c r="BJ4" s="110"/>
      <c r="BK4" s="110"/>
      <c r="BL4" s="110"/>
      <c r="BM4" s="110"/>
      <c r="BN4" s="110"/>
      <c r="BO4" s="110"/>
      <c r="BP4" s="110"/>
      <c r="BQ4" s="138"/>
      <c r="BR4" s="111" t="s">
        <v>1813</v>
      </c>
      <c r="BS4" s="111" t="str">
        <f>IF(COUNTIF(F8,"*Solo*"),"Yes","No")</f>
        <v>No</v>
      </c>
      <c r="BU4" s="178" t="s">
        <v>1674</v>
      </c>
      <c r="BV4" s="178">
        <v>0.5</v>
      </c>
      <c r="BX4" s="178" t="s">
        <v>1676</v>
      </c>
      <c r="BY4" s="196">
        <v>2.7</v>
      </c>
      <c r="BZ4" s="196">
        <v>2.5</v>
      </c>
      <c r="CA4" s="178">
        <f>IF(LEFT($F$7,2)="Yo",BY4,BZ4)</f>
        <v>2.5</v>
      </c>
      <c r="CB4" s="111"/>
      <c r="CC4" s="111"/>
      <c r="DY4" s="108"/>
      <c r="DZ4" s="108"/>
      <c r="EA4" s="108"/>
      <c r="EB4" s="108"/>
      <c r="EC4" s="108"/>
      <c r="ED4" s="108"/>
      <c r="EE4" s="108"/>
      <c r="EF4" s="108"/>
      <c r="EG4" s="108"/>
      <c r="EH4" s="108"/>
      <c r="EI4" s="108"/>
      <c r="EJ4" s="108"/>
      <c r="EK4" s="108"/>
      <c r="EL4" s="108"/>
      <c r="EM4" s="108"/>
      <c r="EN4" s="108"/>
      <c r="EO4" s="108"/>
      <c r="EP4" s="108"/>
      <c r="EQ4" s="108"/>
      <c r="ER4" s="108"/>
      <c r="ES4" s="108"/>
      <c r="ET4" s="108"/>
      <c r="EU4" s="108"/>
      <c r="EV4" s="108"/>
      <c r="EW4" s="108"/>
      <c r="EX4" s="108"/>
      <c r="EY4" s="108"/>
      <c r="EZ4" s="108"/>
      <c r="FA4" s="108"/>
      <c r="FB4" s="108"/>
      <c r="FC4" s="108"/>
      <c r="FD4" s="108"/>
      <c r="FE4" s="108"/>
      <c r="FF4" s="108"/>
      <c r="FG4" s="108"/>
      <c r="FH4" s="108"/>
      <c r="FI4" s="108"/>
      <c r="FJ4" s="108"/>
      <c r="FN4" s="111"/>
    </row>
    <row r="5" spans="1:174" ht="15.75" customHeight="1" thickBot="1" x14ac:dyDescent="0.3">
      <c r="A5" s="274" t="s">
        <v>2087</v>
      </c>
      <c r="B5" s="275"/>
      <c r="C5" s="275"/>
      <c r="D5" s="276"/>
      <c r="E5" s="13"/>
      <c r="F5" s="287"/>
      <c r="G5" s="288"/>
      <c r="H5" s="288"/>
      <c r="I5" s="288"/>
      <c r="J5" s="105"/>
      <c r="K5" s="106" t="str">
        <f>IF(A5="Federation:","Country code:","")</f>
        <v/>
      </c>
      <c r="L5" s="107" t="str">
        <f>IFERROR(INDEX(Data!CG1:CG209,MATCH(F5,Data!CF1:CF209,0)),"")</f>
        <v/>
      </c>
      <c r="M5" s="133" t="s">
        <v>622</v>
      </c>
      <c r="N5" s="81"/>
      <c r="O5" s="134" t="s">
        <v>623</v>
      </c>
      <c r="P5" s="80" t="str">
        <f>IF(N5&lt;&gt;"","","X")</f>
        <v>X</v>
      </c>
      <c r="Q5" s="281"/>
      <c r="R5" s="282"/>
      <c r="S5" s="282"/>
      <c r="T5" s="282"/>
      <c r="U5" s="282"/>
      <c r="V5" s="282"/>
      <c r="W5" s="282"/>
      <c r="X5" s="282"/>
      <c r="Y5" s="282"/>
      <c r="Z5" s="282"/>
      <c r="AA5" s="282"/>
      <c r="AB5" s="282"/>
      <c r="AC5" s="282"/>
      <c r="AD5" s="188"/>
      <c r="AE5" s="185"/>
      <c r="AF5" s="75"/>
      <c r="AG5" s="139"/>
      <c r="AH5" s="139"/>
      <c r="AI5" s="139"/>
      <c r="AJ5" s="139"/>
      <c r="AK5" s="139"/>
      <c r="AL5" s="110"/>
      <c r="AM5" s="110"/>
      <c r="AN5" s="110"/>
      <c r="AO5" s="110"/>
      <c r="AP5" s="110"/>
      <c r="AQ5" s="110"/>
      <c r="AR5" s="110"/>
      <c r="AS5" s="110"/>
      <c r="AT5" s="110"/>
      <c r="AU5" s="110"/>
      <c r="AV5" s="110"/>
      <c r="AW5" s="110"/>
      <c r="AX5" s="110"/>
      <c r="AY5" s="110"/>
      <c r="AZ5" s="110"/>
      <c r="BA5" s="110"/>
      <c r="BB5" s="110"/>
      <c r="BC5" s="110"/>
      <c r="BD5" s="110"/>
      <c r="BE5" s="110"/>
      <c r="BF5" s="110"/>
      <c r="BG5" s="110"/>
      <c r="BH5" s="110"/>
      <c r="BI5" s="110"/>
      <c r="BJ5" s="110"/>
      <c r="BK5" s="110"/>
      <c r="BL5" s="110"/>
      <c r="BM5" s="110"/>
      <c r="BN5" s="110"/>
      <c r="BO5" s="110"/>
      <c r="BP5" s="110"/>
      <c r="BQ5" s="138"/>
      <c r="BR5" s="111" t="s">
        <v>1808</v>
      </c>
      <c r="BS5" s="111" t="str">
        <f>IF(OR($F$8="Open Team Technical",$F$8="Open Team Free",$F$8="Open Free Combination"),"OK","")</f>
        <v/>
      </c>
      <c r="BU5" s="178" t="s">
        <v>1675</v>
      </c>
      <c r="BV5" s="178">
        <v>0.1</v>
      </c>
      <c r="BX5" s="178" t="s">
        <v>140</v>
      </c>
      <c r="BY5" s="196">
        <v>2.8</v>
      </c>
      <c r="BZ5" s="196">
        <v>2.6</v>
      </c>
      <c r="CA5" s="178">
        <f t="shared" ref="CA5:CA7" si="0">IF(LEFT($F$7,2)="Yo",BY5,BZ5)</f>
        <v>2.6</v>
      </c>
      <c r="CB5" s="111"/>
      <c r="CC5" s="111"/>
      <c r="DY5" s="108"/>
      <c r="DZ5" s="108"/>
      <c r="EA5" s="108"/>
      <c r="EB5" s="108"/>
      <c r="EC5" s="108"/>
      <c r="ED5" s="108"/>
      <c r="EE5" s="108"/>
      <c r="EF5" s="108"/>
      <c r="EG5" s="108"/>
      <c r="EH5" s="108"/>
      <c r="EI5" s="108"/>
      <c r="EJ5" s="108"/>
      <c r="EK5" s="108"/>
      <c r="EL5" s="108"/>
      <c r="EM5" s="108"/>
      <c r="EN5" s="108"/>
      <c r="EO5" s="108"/>
      <c r="EP5" s="108"/>
      <c r="EQ5" s="108"/>
      <c r="ER5" s="108"/>
      <c r="ES5" s="108"/>
      <c r="ET5" s="108"/>
      <c r="EU5" s="108"/>
      <c r="EV5" s="108"/>
      <c r="EW5" s="108"/>
      <c r="EX5" s="108"/>
      <c r="EY5" s="108"/>
      <c r="EZ5" s="108"/>
      <c r="FA5" s="108"/>
      <c r="FB5" s="108"/>
      <c r="FC5" s="108"/>
      <c r="FD5" s="108"/>
      <c r="FE5" s="108"/>
      <c r="FF5" s="108"/>
      <c r="FG5" s="108"/>
      <c r="FH5" s="108"/>
      <c r="FI5" s="108"/>
      <c r="FJ5" s="108"/>
      <c r="FN5" s="111"/>
    </row>
    <row r="6" spans="1:174" ht="15" customHeight="1" thickBot="1" x14ac:dyDescent="0.3">
      <c r="A6" s="277" t="s">
        <v>1</v>
      </c>
      <c r="B6" s="278"/>
      <c r="C6" s="278"/>
      <c r="D6" s="279"/>
      <c r="E6" s="15"/>
      <c r="F6" s="284"/>
      <c r="G6" s="285"/>
      <c r="H6" s="285"/>
      <c r="I6" s="285"/>
      <c r="J6" s="285"/>
      <c r="K6" s="285"/>
      <c r="L6" s="286"/>
      <c r="M6" s="134" t="s">
        <v>621</v>
      </c>
      <c r="N6" s="283"/>
      <c r="O6" s="283"/>
      <c r="P6" s="283"/>
      <c r="Q6" s="283"/>
      <c r="R6" s="283"/>
      <c r="S6" s="283"/>
      <c r="T6" s="283"/>
      <c r="U6" s="283"/>
      <c r="V6" s="283"/>
      <c r="W6" s="283"/>
      <c r="X6" s="283"/>
      <c r="Y6" s="283"/>
      <c r="Z6" s="283"/>
      <c r="AA6" s="283"/>
      <c r="AB6" s="283"/>
      <c r="AC6" s="283"/>
      <c r="AD6" s="189"/>
      <c r="AE6" s="186"/>
      <c r="AF6" s="75"/>
      <c r="AG6" s="139"/>
      <c r="AH6" s="139"/>
      <c r="AI6" s="139"/>
      <c r="AJ6" s="139"/>
      <c r="AK6" s="139"/>
      <c r="AL6" s="110"/>
      <c r="AM6" s="110"/>
      <c r="AN6" s="110"/>
      <c r="AO6" s="110"/>
      <c r="AP6" s="110"/>
      <c r="AQ6" s="110"/>
      <c r="AR6" s="110"/>
      <c r="AS6" s="110"/>
      <c r="AT6" s="110"/>
      <c r="AU6" s="110"/>
      <c r="AV6" s="110"/>
      <c r="AW6" s="110"/>
      <c r="AX6" s="110"/>
      <c r="AY6" s="110"/>
      <c r="AZ6" s="110"/>
      <c r="BA6" s="110"/>
      <c r="BB6" s="110"/>
      <c r="BC6" s="110"/>
      <c r="BD6" s="110"/>
      <c r="BE6" s="110"/>
      <c r="BF6" s="110"/>
      <c r="BG6" s="110"/>
      <c r="BH6" s="110"/>
      <c r="BI6" s="110"/>
      <c r="BJ6" s="110"/>
      <c r="BK6" s="110"/>
      <c r="BL6" s="110"/>
      <c r="BM6" s="110"/>
      <c r="BN6" s="110"/>
      <c r="BO6" s="110"/>
      <c r="BP6" s="110"/>
      <c r="BQ6" s="135"/>
      <c r="BR6" s="111" t="s">
        <v>76</v>
      </c>
      <c r="BS6" s="111" t="str">
        <f>IF(OR(LEFT(F8,10)="Women solo",LEFT(F8,4)="Male"),"",IF(LEFT(F8,10)="Women Duet","D",IF(LEFT(F8,5)="Mixed","D","T")))</f>
        <v>T</v>
      </c>
      <c r="BU6" s="178" t="s">
        <v>1676</v>
      </c>
      <c r="BV6" s="178">
        <v>0.5</v>
      </c>
      <c r="BX6" s="178" t="s">
        <v>632</v>
      </c>
      <c r="BY6" s="196">
        <v>2.8</v>
      </c>
      <c r="BZ6" s="196">
        <v>2.6</v>
      </c>
      <c r="CA6" s="178">
        <f t="shared" si="0"/>
        <v>2.6</v>
      </c>
      <c r="CB6" s="111"/>
      <c r="CC6" s="111"/>
      <c r="DY6" s="108"/>
      <c r="DZ6" s="108"/>
      <c r="EA6" s="108"/>
      <c r="EB6" s="108"/>
      <c r="EC6" s="108"/>
      <c r="ED6" s="108"/>
      <c r="EE6" s="108"/>
      <c r="EF6" s="108"/>
      <c r="EG6" s="108"/>
      <c r="EH6" s="108"/>
      <c r="EI6" s="108"/>
      <c r="EJ6" s="108"/>
      <c r="EK6" s="108"/>
      <c r="EL6" s="108"/>
      <c r="EM6" s="108"/>
      <c r="EN6" s="108"/>
      <c r="EO6" s="108"/>
      <c r="EP6" s="108"/>
      <c r="EQ6" s="108"/>
      <c r="ER6" s="108"/>
      <c r="ES6" s="108"/>
      <c r="ET6" s="108"/>
      <c r="EU6" s="108"/>
      <c r="EV6" s="108"/>
      <c r="EW6" s="108"/>
      <c r="EX6" s="108"/>
      <c r="EY6" s="108"/>
      <c r="EZ6" s="108"/>
      <c r="FA6" s="108"/>
      <c r="FB6" s="108"/>
      <c r="FC6" s="108"/>
      <c r="FD6" s="108"/>
      <c r="FE6" s="108"/>
      <c r="FF6" s="108"/>
      <c r="FG6" s="108"/>
      <c r="FH6" s="108"/>
      <c r="FI6" s="108"/>
      <c r="FJ6" s="108"/>
      <c r="FN6" s="111"/>
    </row>
    <row r="7" spans="1:174" ht="12.75" x14ac:dyDescent="0.25">
      <c r="A7" s="277" t="s">
        <v>4</v>
      </c>
      <c r="B7" s="278"/>
      <c r="C7" s="278"/>
      <c r="D7" s="278"/>
      <c r="E7" s="14"/>
      <c r="F7" s="50"/>
      <c r="G7" s="67" t="str">
        <f>IF(F7&lt;&gt;"","","&lt;--  Choose age group first")</f>
        <v>&lt;--  Choose age group first</v>
      </c>
      <c r="H7" s="68"/>
      <c r="I7" s="68"/>
      <c r="J7" s="68"/>
      <c r="K7" s="69" t="str">
        <f>IF(F7&lt;&gt;"","Acrobatic safety limits on (Y/N)?:","")</f>
        <v/>
      </c>
      <c r="L7" s="73" t="s">
        <v>584</v>
      </c>
      <c r="M7" s="72" t="str">
        <f>IF(OR(LEFT(F7,2)="12",LEFT(F7,2)="Yo"),"X","")</f>
        <v/>
      </c>
      <c r="N7" s="72" t="str">
        <f>IF(OR(LEFT(F7,2)="12",LEFT(F7,2)="Yo"),IF(L7="Y","X",""),IF(AND(M8&lt;&gt;"",L8="Y"),"X",""))</f>
        <v/>
      </c>
      <c r="O7" s="17"/>
      <c r="P7" s="17"/>
      <c r="Q7" s="17"/>
      <c r="R7" s="17"/>
      <c r="S7" s="17"/>
      <c r="T7" s="17"/>
      <c r="U7" s="17"/>
      <c r="V7" s="17"/>
      <c r="W7" s="17"/>
      <c r="X7" s="17"/>
      <c r="Y7" s="17"/>
      <c r="Z7" s="17"/>
      <c r="AA7" s="17"/>
      <c r="AB7" s="17"/>
      <c r="AC7" s="17"/>
      <c r="AD7" s="17"/>
      <c r="AE7" s="38"/>
      <c r="AF7" s="75"/>
      <c r="AG7" s="139"/>
      <c r="AH7" s="139"/>
      <c r="AI7" s="139"/>
      <c r="AJ7" s="139"/>
      <c r="AK7" s="139"/>
      <c r="AL7" s="110"/>
      <c r="AM7" s="110"/>
      <c r="AN7" s="110"/>
      <c r="AO7" s="110"/>
      <c r="AP7" s="110"/>
      <c r="AQ7" s="110"/>
      <c r="AR7" s="110"/>
      <c r="AS7" s="110"/>
      <c r="AT7" s="110"/>
      <c r="AU7" s="110"/>
      <c r="AV7" s="110"/>
      <c r="AW7" s="110"/>
      <c r="AX7" s="110"/>
      <c r="AY7" s="110"/>
      <c r="AZ7" s="110"/>
      <c r="BA7" s="110"/>
      <c r="BB7" s="110"/>
      <c r="BC7" s="110"/>
      <c r="BD7" s="110"/>
      <c r="BE7" s="110"/>
      <c r="BF7" s="110"/>
      <c r="BG7" s="110"/>
      <c r="BH7" s="110"/>
      <c r="BI7" s="110"/>
      <c r="BJ7" s="110"/>
      <c r="BK7" s="110"/>
      <c r="BL7" s="110"/>
      <c r="BM7" s="110"/>
      <c r="BN7" s="110"/>
      <c r="BO7" s="110"/>
      <c r="BP7" s="110"/>
      <c r="BQ7" s="135"/>
      <c r="BR7" s="111" t="s">
        <v>22</v>
      </c>
      <c r="BS7" s="108" t="str">
        <f>IF(OR(LEFT(F7,1)="1",LEFT(F7,1)="Y"),1,IF(OR(LEFT(F7,1)="J",LEFT(F7,1)="S",LEFT(F7,1)="M"),2,""))</f>
        <v/>
      </c>
      <c r="BU7" s="178" t="s">
        <v>140</v>
      </c>
      <c r="BV7" s="178">
        <v>0.5</v>
      </c>
      <c r="BX7" s="178" t="s">
        <v>137</v>
      </c>
      <c r="BY7" s="196">
        <v>3</v>
      </c>
      <c r="BZ7" s="196">
        <v>2.8</v>
      </c>
      <c r="CA7" s="178">
        <f t="shared" si="0"/>
        <v>2.8</v>
      </c>
      <c r="CB7" s="111"/>
      <c r="CC7" s="111"/>
      <c r="DY7" s="108"/>
      <c r="DZ7" s="108"/>
      <c r="EA7" s="108"/>
      <c r="EB7" s="108"/>
      <c r="EC7" s="108"/>
      <c r="ED7" s="108"/>
      <c r="EE7" s="108"/>
      <c r="EF7" s="108"/>
      <c r="EG7" s="108"/>
      <c r="EH7" s="108"/>
      <c r="EI7" s="108"/>
      <c r="EJ7" s="108"/>
      <c r="EK7" s="108"/>
      <c r="EL7" s="108"/>
      <c r="EM7" s="108"/>
      <c r="EN7" s="108"/>
      <c r="EO7" s="108"/>
      <c r="EP7" s="108"/>
      <c r="EQ7" s="108"/>
      <c r="ER7" s="108"/>
      <c r="ES7" s="108"/>
      <c r="ET7" s="108"/>
      <c r="EU7" s="108"/>
      <c r="EV7" s="108"/>
      <c r="EW7" s="108"/>
      <c r="EX7" s="108"/>
      <c r="EY7" s="108"/>
      <c r="EZ7" s="108"/>
      <c r="FA7" s="108"/>
      <c r="FB7" s="108"/>
      <c r="FC7" s="108"/>
      <c r="FD7" s="108"/>
      <c r="FE7" s="108"/>
      <c r="FF7" s="108"/>
      <c r="FG7" s="108"/>
      <c r="FH7" s="108"/>
      <c r="FI7" s="108"/>
      <c r="FJ7" s="108"/>
      <c r="FN7" s="111"/>
    </row>
    <row r="8" spans="1:174" ht="12.75" x14ac:dyDescent="0.25">
      <c r="A8" s="277" t="s">
        <v>2</v>
      </c>
      <c r="B8" s="278"/>
      <c r="C8" s="278"/>
      <c r="D8" s="279"/>
      <c r="E8" s="15"/>
      <c r="F8" s="205"/>
      <c r="G8" s="70" t="str">
        <f>IF(AND(F8="",F7&lt;&gt;""),"&lt;--  Choose event","")</f>
        <v/>
      </c>
      <c r="H8" s="17"/>
      <c r="I8" s="17"/>
      <c r="J8" s="17"/>
      <c r="K8" s="71" t="str">
        <f>IF(F8&lt;&gt;"","Acrobatic safety limits on (Y/N)?:","")</f>
        <v/>
      </c>
      <c r="L8" s="206" t="s">
        <v>583</v>
      </c>
      <c r="M8" s="72" t="str">
        <f>IF(F8&lt;&gt;"",IF(OR(LEFT(F7,2)="12",LEFT(F7,2)="Yo"),"",IF(F7="","",IF(I12&gt;0,"X",""))),"")</f>
        <v/>
      </c>
      <c r="N8" s="17"/>
      <c r="O8" s="17"/>
      <c r="P8" s="17"/>
      <c r="Q8" s="17"/>
      <c r="R8" s="17"/>
      <c r="S8" s="17"/>
      <c r="T8" s="17"/>
      <c r="U8" s="17"/>
      <c r="V8" s="17"/>
      <c r="W8" s="17"/>
      <c r="X8" s="17"/>
      <c r="Y8" s="17"/>
      <c r="Z8" s="17"/>
      <c r="AA8" s="17"/>
      <c r="AB8" s="17"/>
      <c r="AC8" s="17"/>
      <c r="AD8" s="17"/>
      <c r="AE8" s="38"/>
      <c r="AF8" s="75"/>
      <c r="AG8" s="139"/>
      <c r="AH8" s="139"/>
      <c r="AI8" s="139"/>
      <c r="AJ8" s="139"/>
      <c r="AK8" s="139"/>
      <c r="AL8" s="110"/>
      <c r="AM8" s="110"/>
      <c r="AN8" s="110"/>
      <c r="AO8" s="110"/>
      <c r="AP8" s="110"/>
      <c r="AQ8" s="110"/>
      <c r="AR8" s="110"/>
      <c r="AS8" s="110"/>
      <c r="AT8" s="110"/>
      <c r="AU8" s="110"/>
      <c r="AV8" s="110"/>
      <c r="AW8" s="110"/>
      <c r="AX8" s="110"/>
      <c r="AY8" s="110"/>
      <c r="AZ8" s="110"/>
      <c r="BA8" s="110"/>
      <c r="BB8" s="110"/>
      <c r="BC8" s="110"/>
      <c r="BD8" s="110"/>
      <c r="BE8" s="110"/>
      <c r="BF8" s="110"/>
      <c r="BG8" s="110"/>
      <c r="BH8" s="110"/>
      <c r="BI8" s="110"/>
      <c r="BJ8" s="110"/>
      <c r="BK8" s="110"/>
      <c r="BL8" s="110"/>
      <c r="BM8" s="110"/>
      <c r="BN8" s="110"/>
      <c r="BO8" s="110"/>
      <c r="BP8" s="110"/>
      <c r="BQ8" s="135"/>
      <c r="BR8" s="111" t="s">
        <v>21</v>
      </c>
      <c r="BS8" s="108" t="str">
        <f>IF(RIGHT(F8,9)="Technical","T",IF(LEFT(F8,1)="F","F",IF(LEFT(F8,1)="A","A","")))</f>
        <v/>
      </c>
      <c r="BU8" s="178" t="s">
        <v>632</v>
      </c>
      <c r="BV8" s="178">
        <v>0.5</v>
      </c>
      <c r="CA8" s="111"/>
      <c r="CB8" s="111"/>
      <c r="CC8" s="111"/>
      <c r="DY8" s="108"/>
      <c r="DZ8" s="108"/>
      <c r="EA8" s="108"/>
      <c r="EB8" s="108"/>
      <c r="EC8" s="108"/>
      <c r="ED8" s="108"/>
      <c r="EE8" s="108"/>
      <c r="EF8" s="108"/>
      <c r="EG8" s="108"/>
      <c r="EH8" s="108"/>
      <c r="EI8" s="108"/>
      <c r="EJ8" s="108"/>
      <c r="EK8" s="108"/>
      <c r="EL8" s="108"/>
      <c r="EM8" s="108"/>
      <c r="EN8" s="108"/>
      <c r="EO8" s="108"/>
      <c r="EP8" s="108"/>
      <c r="EQ8" s="108"/>
      <c r="ER8" s="108"/>
      <c r="ES8" s="108"/>
      <c r="ET8" s="108"/>
      <c r="EU8" s="108"/>
      <c r="EV8" s="108"/>
      <c r="EW8" s="108"/>
      <c r="EX8" s="108"/>
      <c r="EY8" s="108"/>
      <c r="EZ8" s="108"/>
      <c r="FA8" s="108"/>
      <c r="FB8" s="108"/>
      <c r="FC8" s="108"/>
      <c r="FD8" s="108"/>
      <c r="FE8" s="108"/>
      <c r="FF8" s="108"/>
      <c r="FG8" s="108"/>
      <c r="FH8" s="108"/>
      <c r="FI8" s="108"/>
      <c r="FJ8" s="108"/>
      <c r="FN8" s="111"/>
    </row>
    <row r="9" spans="1:174" ht="15.75" customHeight="1" thickBot="1" x14ac:dyDescent="0.3">
      <c r="A9" s="292" t="s">
        <v>6</v>
      </c>
      <c r="B9" s="293"/>
      <c r="C9" s="293"/>
      <c r="D9" s="294"/>
      <c r="E9" s="18"/>
      <c r="F9" s="295"/>
      <c r="G9" s="285"/>
      <c r="H9" s="285"/>
      <c r="I9" s="285"/>
      <c r="J9" s="285"/>
      <c r="K9" s="285"/>
      <c r="L9" s="285"/>
      <c r="M9" s="285"/>
      <c r="N9" s="285"/>
      <c r="O9" s="285"/>
      <c r="P9" s="285"/>
      <c r="Q9" s="285"/>
      <c r="R9" s="285"/>
      <c r="S9" s="285"/>
      <c r="T9" s="285"/>
      <c r="U9" s="285"/>
      <c r="V9" s="285"/>
      <c r="W9" s="285"/>
      <c r="X9" s="285"/>
      <c r="Y9" s="285"/>
      <c r="Z9" s="285"/>
      <c r="AA9" s="285"/>
      <c r="AB9" s="285"/>
      <c r="AC9" s="296"/>
      <c r="AD9" s="189"/>
      <c r="AE9" s="186"/>
      <c r="AF9" s="75"/>
      <c r="AG9" s="139"/>
      <c r="AH9" s="139"/>
      <c r="AI9" s="139"/>
      <c r="AJ9" s="139"/>
      <c r="AK9" s="139"/>
      <c r="AL9" s="110"/>
      <c r="AM9" s="110"/>
      <c r="AN9" s="110"/>
      <c r="AO9" s="110"/>
      <c r="AP9" s="110"/>
      <c r="AQ9" s="110"/>
      <c r="AR9" s="110"/>
      <c r="AS9" s="110"/>
      <c r="AT9" s="110"/>
      <c r="AU9" s="110"/>
      <c r="AV9" s="110"/>
      <c r="AW9" s="110"/>
      <c r="AX9" s="110"/>
      <c r="AY9" s="110"/>
      <c r="AZ9" s="110"/>
      <c r="BA9" s="110"/>
      <c r="BB9" s="110"/>
      <c r="BC9" s="110"/>
      <c r="BD9" s="110"/>
      <c r="BE9" s="110"/>
      <c r="BF9" s="110"/>
      <c r="BG9" s="110"/>
      <c r="BH9" s="110"/>
      <c r="BI9" s="110"/>
      <c r="BJ9" s="110"/>
      <c r="BK9" s="110"/>
      <c r="BL9" s="110"/>
      <c r="BM9" s="110"/>
      <c r="BN9" s="110"/>
      <c r="BO9" s="110"/>
      <c r="BP9" s="110"/>
      <c r="BQ9" s="135"/>
      <c r="BR9" s="251" t="str">
        <f>IFERROR(CONCATENATE(F8," / ",F7),"")</f>
        <v xml:space="preserve"> / </v>
      </c>
      <c r="BS9" s="251"/>
      <c r="BT9" s="251"/>
      <c r="BU9" s="178" t="s">
        <v>137</v>
      </c>
      <c r="BV9" s="178">
        <v>0.5</v>
      </c>
      <c r="CA9" s="111"/>
      <c r="CB9" s="111"/>
      <c r="CC9" s="111"/>
      <c r="DY9" s="108"/>
      <c r="DZ9" s="108"/>
      <c r="EA9" s="108"/>
      <c r="EB9" s="108"/>
      <c r="EC9" s="108"/>
      <c r="ED9" s="108"/>
      <c r="EE9" s="108"/>
      <c r="EF9" s="108"/>
      <c r="EG9" s="108"/>
      <c r="EH9" s="108"/>
      <c r="EI9" s="108"/>
      <c r="EJ9" s="108"/>
      <c r="EK9" s="108"/>
      <c r="EL9" s="108"/>
      <c r="EM9" s="108"/>
      <c r="EN9" s="108"/>
      <c r="EO9" s="108"/>
      <c r="EP9" s="108"/>
      <c r="EQ9" s="108"/>
      <c r="ER9" s="108"/>
      <c r="ES9" s="108"/>
      <c r="ET9" s="108"/>
      <c r="EU9" s="108"/>
      <c r="EV9" s="108"/>
      <c r="EW9" s="108"/>
      <c r="EX9" s="108"/>
      <c r="EY9" s="108"/>
      <c r="EZ9" s="108"/>
      <c r="FA9" s="108"/>
      <c r="FB9" s="108"/>
      <c r="FC9" s="108"/>
      <c r="FD9" s="108"/>
      <c r="FE9" s="108"/>
      <c r="FF9" s="108"/>
      <c r="FG9" s="108"/>
      <c r="FH9" s="108"/>
      <c r="FI9" s="108"/>
      <c r="FJ9" s="108"/>
      <c r="FN9" s="111"/>
    </row>
    <row r="10" spans="1:174" ht="16.5" customHeight="1" x14ac:dyDescent="0.25">
      <c r="A10" s="19"/>
      <c r="B10" s="19"/>
      <c r="C10" s="19"/>
      <c r="D10" s="20"/>
      <c r="E10" s="20"/>
      <c r="G10" s="21" t="s">
        <v>18</v>
      </c>
      <c r="H10" s="21" t="s">
        <v>17</v>
      </c>
      <c r="I10" s="22" t="str">
        <f>IF(OR(F8="Women Duet Free",F8="Mixed Duet Free",F8="Women Duet Technical",F8="Mixed Duet Technical"),"Acrobatic - Pair","Acrobatic")</f>
        <v>Acrobatic</v>
      </c>
      <c r="J10" s="22" t="s">
        <v>1661</v>
      </c>
      <c r="K10" s="22" t="s">
        <v>1667</v>
      </c>
      <c r="L10" s="22" t="s">
        <v>561</v>
      </c>
      <c r="M10" s="22" t="s">
        <v>560</v>
      </c>
      <c r="N10" s="22" t="s">
        <v>1665</v>
      </c>
      <c r="O10" s="22" t="s">
        <v>1664</v>
      </c>
      <c r="P10" s="22" t="s">
        <v>1819</v>
      </c>
      <c r="Q10" s="22" t="s">
        <v>1663</v>
      </c>
      <c r="R10" s="22"/>
      <c r="Y10" s="22"/>
      <c r="Z10" s="22"/>
      <c r="AA10" s="22"/>
      <c r="AB10" s="22"/>
      <c r="AC10" s="22"/>
      <c r="AD10" s="22"/>
      <c r="AE10" s="20"/>
      <c r="AF10" s="75"/>
      <c r="AG10" s="75"/>
      <c r="AH10" s="110"/>
      <c r="AI10" s="110"/>
      <c r="AJ10" s="110"/>
      <c r="AK10" s="110"/>
      <c r="AL10" s="110"/>
      <c r="AM10" s="110"/>
      <c r="AN10" s="110"/>
      <c r="AO10" s="110"/>
      <c r="AP10" s="110"/>
      <c r="AQ10" s="110"/>
      <c r="AR10" s="110"/>
      <c r="AS10" s="110"/>
      <c r="AT10" s="110"/>
      <c r="AU10" s="110"/>
      <c r="AV10" s="110"/>
      <c r="AW10" s="110"/>
      <c r="AX10" s="110"/>
      <c r="AY10" s="110"/>
      <c r="AZ10" s="110"/>
      <c r="BA10" s="110"/>
      <c r="BB10" s="110"/>
      <c r="BC10" s="110"/>
      <c r="BD10" s="110"/>
      <c r="BE10" s="110"/>
      <c r="BF10" s="110"/>
      <c r="BG10" s="110"/>
      <c r="BH10" s="110"/>
      <c r="BI10" s="110"/>
      <c r="BJ10" s="110"/>
      <c r="BK10" s="110"/>
      <c r="BL10" s="110"/>
      <c r="BM10" s="110"/>
      <c r="BN10" s="110"/>
      <c r="BO10" s="110"/>
      <c r="BP10" s="110"/>
      <c r="BQ10" s="112"/>
      <c r="CA10" s="111"/>
      <c r="CB10" s="111"/>
      <c r="CC10" s="111"/>
      <c r="DY10" s="108"/>
      <c r="DZ10" s="108"/>
      <c r="EA10" s="108"/>
      <c r="EB10" s="108"/>
      <c r="EC10" s="108"/>
      <c r="ED10" s="108"/>
      <c r="EE10" s="108"/>
      <c r="EF10" s="108"/>
      <c r="EG10" s="108"/>
      <c r="EH10" s="108"/>
      <c r="EI10" s="108"/>
      <c r="EJ10" s="108"/>
      <c r="EK10" s="108"/>
      <c r="EL10" s="108"/>
      <c r="EM10" s="108"/>
      <c r="EN10" s="108"/>
      <c r="EO10" s="108"/>
      <c r="EP10" s="108"/>
      <c r="EQ10" s="108"/>
      <c r="ER10" s="108"/>
      <c r="ES10" s="108"/>
      <c r="ET10" s="108"/>
      <c r="EU10" s="108"/>
      <c r="EV10" s="108"/>
      <c r="EW10" s="108"/>
      <c r="EX10" s="108"/>
      <c r="EY10" s="108"/>
      <c r="EZ10" s="108"/>
      <c r="FA10" s="108"/>
      <c r="FB10" s="108"/>
      <c r="FC10" s="108"/>
      <c r="FD10" s="108"/>
      <c r="FE10" s="108"/>
      <c r="FF10" s="108"/>
      <c r="FG10" s="108"/>
      <c r="FH10" s="108"/>
      <c r="FI10" s="108"/>
      <c r="FJ10" s="108"/>
      <c r="FN10" s="111"/>
    </row>
    <row r="11" spans="1:174" ht="15" customHeight="1" x14ac:dyDescent="0.25">
      <c r="A11" s="53"/>
      <c r="B11" s="53"/>
      <c r="C11" s="54"/>
      <c r="D11" s="55"/>
      <c r="E11" s="20"/>
      <c r="G11" s="16" t="s">
        <v>47</v>
      </c>
      <c r="H11" s="16" t="s">
        <v>20</v>
      </c>
      <c r="I11" s="176" t="str">
        <f>IF(OR(F8="Women Duet Free",F8="Mixed Duet Free",F8="Women Duet Technical",F8="Mixed Duet Technical"),"PairAcro","TeamAcro")</f>
        <v>TeamAcro</v>
      </c>
      <c r="J11" s="23" t="s">
        <v>16</v>
      </c>
      <c r="K11" s="23" t="s">
        <v>580</v>
      </c>
      <c r="L11" s="23" t="s">
        <v>581</v>
      </c>
      <c r="M11" s="23" t="s">
        <v>582</v>
      </c>
      <c r="N11" s="176" t="s">
        <v>1669</v>
      </c>
      <c r="O11" s="176" t="s">
        <v>1668</v>
      </c>
      <c r="P11" s="176" t="s">
        <v>1820</v>
      </c>
      <c r="Q11" s="23" t="s">
        <v>48</v>
      </c>
      <c r="R11" s="23"/>
      <c r="S11" s="202" t="str">
        <f>IF(BS8="T","   Technical Required Element - Check",IF(BS3="Yes","",IF(BS4="Yes","         Hybrid families minimum - check","                Hybrid families minimum- check")))</f>
        <v xml:space="preserve">                Hybrid families minimum- check</v>
      </c>
      <c r="T11" s="203"/>
      <c r="U11" s="203"/>
      <c r="V11" s="203"/>
      <c r="W11" s="203"/>
      <c r="X11" s="198"/>
      <c r="Y11" s="271" t="s">
        <v>2025</v>
      </c>
      <c r="Z11" s="272"/>
      <c r="AA11" s="272"/>
      <c r="AB11" s="273"/>
      <c r="AC11" s="23"/>
      <c r="AD11" s="23"/>
      <c r="AE11" s="20"/>
      <c r="AF11" s="75"/>
      <c r="AG11" s="75"/>
      <c r="AH11" s="110"/>
      <c r="AI11" s="110"/>
      <c r="AJ11" s="110"/>
      <c r="AK11" s="110"/>
      <c r="AL11" s="110"/>
      <c r="AM11" s="110"/>
      <c r="AN11" s="110"/>
      <c r="AO11" s="110"/>
      <c r="AP11" s="110"/>
      <c r="AQ11" s="110"/>
      <c r="AR11" s="110"/>
      <c r="AS11" s="110"/>
      <c r="AT11" s="110"/>
      <c r="AU11" s="110"/>
      <c r="AV11" s="110"/>
      <c r="AW11" s="110"/>
      <c r="AX11" s="110"/>
      <c r="AY11" s="110"/>
      <c r="AZ11" s="110"/>
      <c r="BA11" s="110"/>
      <c r="BB11" s="110"/>
      <c r="BC11" s="110"/>
      <c r="BD11" s="110"/>
      <c r="BE11" s="110"/>
      <c r="BF11" s="110"/>
      <c r="BG11" s="110"/>
      <c r="BH11" s="110"/>
      <c r="BI11" s="110"/>
      <c r="BJ11" s="110"/>
      <c r="BK11" s="110"/>
      <c r="BL11" s="110"/>
      <c r="BM11" s="110"/>
      <c r="BN11" s="110"/>
      <c r="BO11" s="110"/>
      <c r="BP11" s="110"/>
      <c r="BQ11" s="112"/>
      <c r="BR11" s="111" t="s">
        <v>578</v>
      </c>
      <c r="BS11" s="113" t="str">
        <f>IF(OR(BR9="Team Free / 12 and under",BR9="Team Free / Youth 13 - 15"),"Y","N")</f>
        <v>N</v>
      </c>
      <c r="CA11" s="111"/>
      <c r="CB11" s="111"/>
      <c r="CC11" s="111"/>
      <c r="CQ11" s="247" t="s">
        <v>1817</v>
      </c>
      <c r="CT11" s="250" t="s">
        <v>1817</v>
      </c>
      <c r="CU11" s="250"/>
      <c r="CV11" s="250"/>
      <c r="CW11" s="250"/>
      <c r="CX11" s="250"/>
      <c r="CY11" s="250"/>
      <c r="CZ11" s="250"/>
      <c r="DA11" s="250"/>
      <c r="DB11" s="250"/>
      <c r="DD11" s="267" t="s">
        <v>2022</v>
      </c>
      <c r="DE11" s="268"/>
      <c r="DF11" s="268"/>
      <c r="DG11" s="269"/>
      <c r="DY11" s="108"/>
      <c r="DZ11" s="108"/>
      <c r="EA11" s="108"/>
      <c r="EB11" s="108"/>
      <c r="EC11" s="108"/>
      <c r="ED11" s="108"/>
      <c r="EE11" s="108"/>
      <c r="EF11" s="108"/>
      <c r="EG11" s="108"/>
      <c r="EH11" s="108"/>
      <c r="EI11" s="108"/>
      <c r="EJ11" s="108"/>
      <c r="EK11" s="108"/>
      <c r="EL11" s="108"/>
      <c r="EM11" s="108"/>
      <c r="EN11" s="108"/>
      <c r="EO11" s="108"/>
      <c r="EP11" s="108"/>
      <c r="EQ11" s="108"/>
      <c r="ER11" s="108"/>
      <c r="ES11" s="108"/>
      <c r="ET11" s="108"/>
      <c r="EU11" s="108"/>
      <c r="EV11" s="108"/>
      <c r="EW11" s="108"/>
      <c r="EX11" s="108"/>
      <c r="EY11" s="108"/>
      <c r="EZ11" s="108"/>
      <c r="FA11" s="108"/>
      <c r="FB11" s="108"/>
      <c r="FC11" s="108"/>
      <c r="FD11" s="108"/>
      <c r="FE11" s="108"/>
      <c r="FF11" s="108"/>
      <c r="FG11" s="108"/>
      <c r="FH11" s="108"/>
      <c r="FI11" s="108"/>
      <c r="FJ11" s="108"/>
      <c r="FN11" s="111"/>
    </row>
    <row r="12" spans="1:174" ht="15" customHeight="1" thickBot="1" x14ac:dyDescent="0.3">
      <c r="A12" s="55">
        <v>1.0000578703703704</v>
      </c>
      <c r="B12" s="55" t="str">
        <f>IFERROR(TIME(0,C14,D14-5),"")</f>
        <v/>
      </c>
      <c r="C12" s="54" t="str">
        <f>IFERROR(INDEX(Data!F3:F38,MATCH(BR9,Data!G3:G38,0)),"")</f>
        <v/>
      </c>
      <c r="D12" s="55" t="str">
        <f>IFERROR(TIME(0,C14,D14+5),"")</f>
        <v/>
      </c>
      <c r="E12" s="20"/>
      <c r="F12" s="12" t="s">
        <v>45</v>
      </c>
      <c r="H12" s="16" t="str">
        <f>IFERROR(INDEX(Data!H$3:H$38,MATCH($BR$9,Data!$G$3:$G$38,0)),"")</f>
        <v/>
      </c>
      <c r="I12" s="16" t="str">
        <f>IFERROR(INDEX(Data!J$3:J$38,MATCH($BR$9,Data!$G$3:$G$38,0)),"")</f>
        <v/>
      </c>
      <c r="J12" s="16" t="str">
        <f>IFERROR(INDEX(Data!I$3:I$38,MATCH($BR$9,Data!$G$3:$G$38,0)),"")</f>
        <v/>
      </c>
      <c r="K12" s="16" t="str">
        <f>IFERROR(INDEX(Data!L$3:L$38,MATCH($BR$9,Data!$G$3:$G$38,0)),"")</f>
        <v/>
      </c>
      <c r="L12" s="16" t="str">
        <f>IFERROR(INDEX(Data!N$3:N$38,MATCH($BR$9,Data!$G$3:$G$38,0)),"")</f>
        <v/>
      </c>
      <c r="M12" s="16" t="str">
        <f>IFERROR(INDEX(Data!O$3:O$38,MATCH($BR$9,Data!$G$3:$G$38,0)),"")</f>
        <v/>
      </c>
      <c r="N12" s="16" t="str">
        <f>IFERROR(INDEX(Data!P$3:P$38,MATCH($BR$9,Data!$G$3:$G$38,0)),"")</f>
        <v/>
      </c>
      <c r="O12" s="16" t="str">
        <f>IFERROR(INDEX(Data!R$3:R$38,MATCH($BR$9,Data!$G$3:$G$38,0)),"")</f>
        <v/>
      </c>
      <c r="P12" s="16" t="str">
        <f>IFERROR(INDEX(Data!S$3:S$38,MATCH($BR$9,Data!$G$3:$G$38,0)),"")</f>
        <v/>
      </c>
      <c r="Q12" s="16" t="str">
        <f>IFERROR(INDEX(Data!Q$3:Q$38,MATCH($BR$9,Data!$G$3:$G$38,0)),"")</f>
        <v/>
      </c>
      <c r="R12" s="16"/>
      <c r="S12" s="107" t="str">
        <f>IF(BS8="T","TRE-1","T")</f>
        <v>T</v>
      </c>
      <c r="T12" s="107" t="str">
        <f>IF(BS8="T","TRE-2","S")</f>
        <v>S</v>
      </c>
      <c r="U12" s="107" t="str">
        <f>IF(BS8="T","TRE-3","R")</f>
        <v>R</v>
      </c>
      <c r="V12" s="107" t="str">
        <f>IF(BS8="T",IF(LEFT(F8,5)="Mixed","","TRE-4"),"F")</f>
        <v>F</v>
      </c>
      <c r="W12" s="107" t="str">
        <f>IF(BS8="T",IF(LEFT(F8,5)="Mixed","","TRE-5"),"A")</f>
        <v>A</v>
      </c>
      <c r="X12" s="197" t="str">
        <f>IF(AND(BS4="No",BS8&lt;&gt;"T"),"C","")</f>
        <v>C</v>
      </c>
      <c r="Y12" s="16" t="s">
        <v>1676</v>
      </c>
      <c r="Z12" s="16" t="s">
        <v>140</v>
      </c>
      <c r="AA12" s="16" t="s">
        <v>632</v>
      </c>
      <c r="AB12" s="16" t="s">
        <v>137</v>
      </c>
      <c r="AC12" s="16"/>
      <c r="AD12" s="16"/>
      <c r="AE12" s="20"/>
      <c r="AF12" s="75"/>
      <c r="AG12" s="75"/>
      <c r="AH12" s="110"/>
      <c r="AI12" s="110"/>
      <c r="AJ12" s="110"/>
      <c r="AK12" s="110"/>
      <c r="AL12" s="110"/>
      <c r="AM12" s="110"/>
      <c r="AN12" s="110"/>
      <c r="AO12" s="110"/>
      <c r="AP12" s="110"/>
      <c r="AQ12" s="110"/>
      <c r="AR12" s="110"/>
      <c r="AS12" s="110"/>
      <c r="AT12" s="110"/>
      <c r="AU12" s="110"/>
      <c r="AV12" s="110"/>
      <c r="AW12" s="110"/>
      <c r="AX12" s="110"/>
      <c r="AY12" s="110"/>
      <c r="AZ12" s="110"/>
      <c r="BA12" s="110"/>
      <c r="BB12" s="110"/>
      <c r="BC12" s="110"/>
      <c r="BD12" s="110"/>
      <c r="BE12" s="110"/>
      <c r="BF12" s="110"/>
      <c r="BG12" s="110"/>
      <c r="BH12" s="110"/>
      <c r="BI12" s="110"/>
      <c r="BJ12" s="110"/>
      <c r="BK12" s="110"/>
      <c r="BL12" s="110"/>
      <c r="BM12" s="110"/>
      <c r="BN12" s="110"/>
      <c r="BO12" s="110"/>
      <c r="BP12" s="110"/>
      <c r="BQ12" s="112"/>
      <c r="BR12" s="114">
        <v>1</v>
      </c>
      <c r="BS12" s="115" t="e">
        <f>IFERROR(SECOND(BR14-BS14),SECOND(BS14-BR14))</f>
        <v>#N/A</v>
      </c>
      <c r="CA12" s="111"/>
      <c r="CB12" s="111"/>
      <c r="CC12" s="111"/>
      <c r="CQ12" s="178" t="str">
        <f t="array" ref="CQ12">IFERROR(INDEX($CQ$19:$CQ$68,MATCH(INDEX($CQ$19:$CQ$68,(SMALL(IF($CQ$19:$CQ$68&lt;&gt;"",ROW($CQ$19:$CQ$68)-ROW($CQ$19)+1),1))),$CQ$19:$CQ$68,0),1),"")</f>
        <v/>
      </c>
      <c r="CR12" s="178" t="str">
        <f>IF(COUNTIF($CQ$12:$CQ$14,CQ12)&gt;1,"X","")</f>
        <v>X</v>
      </c>
      <c r="CS12" s="248"/>
      <c r="CT12" s="245" t="str">
        <f>CT13</f>
        <v/>
      </c>
      <c r="CU12" s="227" t="str">
        <f>IF(CU13&lt;&gt;"",CONCATENATE("2",CU13),"")</f>
        <v/>
      </c>
      <c r="CV12" s="227" t="str">
        <f ca="1">CV13</f>
        <v/>
      </c>
      <c r="CW12" s="227" t="str">
        <f t="shared" ref="CW12:DA12" ca="1" si="1">CW13</f>
        <v/>
      </c>
      <c r="CX12" s="227" t="str">
        <f t="shared" ca="1" si="1"/>
        <v/>
      </c>
      <c r="CY12" s="227" t="str">
        <f t="shared" ca="1" si="1"/>
        <v/>
      </c>
      <c r="CZ12" s="227" t="str">
        <f t="shared" ca="1" si="1"/>
        <v/>
      </c>
      <c r="DA12" s="227" t="str">
        <f t="shared" si="1"/>
        <v/>
      </c>
      <c r="DB12" s="178" t="str">
        <f>IF(DB13&lt;&gt;"",CONCATENATE("2",DB13),"")</f>
        <v/>
      </c>
      <c r="DC12" s="230"/>
      <c r="DD12" s="178" t="s">
        <v>1676</v>
      </c>
      <c r="DE12" s="178" t="s">
        <v>140</v>
      </c>
      <c r="DF12" s="178" t="s">
        <v>632</v>
      </c>
      <c r="DG12" s="178" t="s">
        <v>137</v>
      </c>
      <c r="DY12" s="108"/>
      <c r="DZ12" s="108"/>
      <c r="EA12" s="108"/>
      <c r="EB12" s="108"/>
      <c r="EC12" s="108"/>
      <c r="ED12" s="108"/>
      <c r="EE12" s="108"/>
      <c r="EF12" s="108"/>
      <c r="EG12" s="108"/>
      <c r="EH12" s="108"/>
      <c r="EI12" s="108"/>
      <c r="EJ12" s="108"/>
      <c r="EK12" s="108"/>
      <c r="EL12" s="108"/>
      <c r="EM12" s="108"/>
      <c r="EN12" s="108"/>
      <c r="EO12" s="108"/>
      <c r="EP12" s="108"/>
      <c r="EQ12" s="108"/>
      <c r="ER12" s="108"/>
      <c r="ES12" s="108"/>
      <c r="ET12" s="108"/>
      <c r="EU12" s="108"/>
      <c r="EV12" s="108"/>
      <c r="EW12" s="108"/>
      <c r="EX12" s="108"/>
      <c r="EY12" s="108"/>
      <c r="EZ12" s="108"/>
      <c r="FA12" s="108"/>
      <c r="FB12" s="108"/>
      <c r="FC12" s="108"/>
      <c r="FD12" s="108"/>
      <c r="FE12" s="108"/>
      <c r="FF12" s="108"/>
      <c r="FG12" s="108"/>
      <c r="FH12" s="108"/>
      <c r="FI12" s="108"/>
      <c r="FJ12" s="108"/>
      <c r="FN12" s="111"/>
    </row>
    <row r="13" spans="1:174" ht="15" customHeight="1" thickBot="1" x14ac:dyDescent="0.3">
      <c r="A13" s="53"/>
      <c r="B13" s="53" t="str">
        <f>IF(BS17&gt;D12,"Y","")</f>
        <v/>
      </c>
      <c r="C13" s="21" t="str">
        <f>IF(OR(BS17&lt;B12,BS17&gt;D12),"Y","")</f>
        <v>Y</v>
      </c>
      <c r="D13" s="56"/>
      <c r="E13" s="20"/>
      <c r="F13" s="12" t="s">
        <v>46</v>
      </c>
      <c r="G13" s="16">
        <f t="shared" ref="G13:J13" si="2">COUNTIF($F$19:$F$68,G10)</f>
        <v>0</v>
      </c>
      <c r="H13" s="16">
        <f t="shared" si="2"/>
        <v>0</v>
      </c>
      <c r="I13" s="16">
        <f>COUNTIF($F$19:$F$68,I10)</f>
        <v>0</v>
      </c>
      <c r="J13" s="16">
        <f t="shared" si="2"/>
        <v>0</v>
      </c>
      <c r="K13" s="16">
        <f t="shared" ref="K13:Q13" si="3">COUNTIF($F$19:$F$68,K10)</f>
        <v>0</v>
      </c>
      <c r="L13" s="16">
        <f t="shared" si="3"/>
        <v>0</v>
      </c>
      <c r="M13" s="16">
        <f t="shared" si="3"/>
        <v>0</v>
      </c>
      <c r="N13" s="16">
        <f t="shared" si="3"/>
        <v>0</v>
      </c>
      <c r="O13" s="16">
        <f t="shared" si="3"/>
        <v>0</v>
      </c>
      <c r="P13" s="16">
        <f t="shared" si="3"/>
        <v>0</v>
      </c>
      <c r="Q13" s="16">
        <f t="shared" si="3"/>
        <v>0</v>
      </c>
      <c r="R13" s="16"/>
      <c r="S13" s="204" t="str">
        <f>IF($BS$8="T",IF(FL14="X","OK","Not OK"),IF($BS$3="No",IF(FB17&gt;0,"OK","Not OK"),""))</f>
        <v>Not OK</v>
      </c>
      <c r="T13" s="204" t="str">
        <f>IF($BS$8="T",IF(FM14="X","OK","Not OK"),IF($BS$3="No",IF(FC17&gt;0,"OK","Not OK"),""))</f>
        <v>Not OK</v>
      </c>
      <c r="U13" s="204" t="str">
        <f>IF($BS$8="T",IF(FN14="X","OK","Not OK"),IF($BS$3="No",IF(FD17&gt;0,"OK","Not OK"),""))</f>
        <v>Not OK</v>
      </c>
      <c r="V13" s="204" t="str">
        <f>IF($BS$8="T",IF(LEFT(F8,5)="Mixed","",IF(FO14="X","OK","Not OK")),IF($BS$3="No",IF(FE17&gt;0,"OK","Not OK"),""))</f>
        <v>Not OK</v>
      </c>
      <c r="W13" s="204" t="str">
        <f>IF($BS$8="T",IF(LEFT(F8,5)="Mixed","",IF(FP14="X","OK","Not OK")),IF($BS$3="No",IF(FF17&gt;0,"OK","Not OK"),""))</f>
        <v>Not OK</v>
      </c>
      <c r="X13" s="107" t="str">
        <f>IF(AND($BS$3="No",X12&lt;&gt;""),IF(FG17&gt;0,"OK","Not OK"),"")</f>
        <v>Not OK</v>
      </c>
      <c r="Y13" s="107" t="str">
        <f>IF($BS$3="Yes",IF(AND(DD13&gt;0,DD13&lt;3),"OK","Not OK"),"")</f>
        <v/>
      </c>
      <c r="Z13" s="107" t="str">
        <f>IF($BS$3="Yes",IF(AND(DE13&gt;0,DE13&lt;3),"OK","Not OK"),"")</f>
        <v/>
      </c>
      <c r="AA13" s="107" t="str">
        <f>IF($BS$3="Yes",IF(AND(DF13&gt;0,DF13&lt;3),"OK","Not OK"),"")</f>
        <v/>
      </c>
      <c r="AB13" s="107" t="str">
        <f>IF($BS$3="Yes",IF(AND(DG13&gt;0,DG13&lt;3),"OK","Not OK"),"")</f>
        <v/>
      </c>
      <c r="AD13" s="24" t="s">
        <v>54</v>
      </c>
      <c r="AE13" s="241">
        <f>SUM(AE18:AE68)</f>
        <v>0</v>
      </c>
      <c r="AF13" s="75"/>
      <c r="AG13" s="75"/>
      <c r="AH13" s="110"/>
      <c r="AI13" s="110"/>
      <c r="AJ13" s="110"/>
      <c r="AK13" s="110"/>
      <c r="AL13" s="110"/>
      <c r="AM13" s="110"/>
      <c r="AN13" s="110"/>
      <c r="AO13" s="110"/>
      <c r="AP13" s="110"/>
      <c r="AQ13" s="110"/>
      <c r="AR13" s="110"/>
      <c r="AS13" s="110"/>
      <c r="AT13" s="110"/>
      <c r="AU13" s="110"/>
      <c r="AV13" s="110"/>
      <c r="AW13" s="110"/>
      <c r="AX13" s="110"/>
      <c r="AY13" s="110"/>
      <c r="AZ13" s="110"/>
      <c r="BA13" s="110"/>
      <c r="BB13" s="110"/>
      <c r="BC13" s="110"/>
      <c r="BD13" s="110"/>
      <c r="BE13" s="110"/>
      <c r="BF13" s="110"/>
      <c r="BG13" s="110"/>
      <c r="BH13" s="110"/>
      <c r="BI13" s="110"/>
      <c r="BJ13" s="110"/>
      <c r="BK13" s="110"/>
      <c r="BL13" s="110"/>
      <c r="BM13" s="110"/>
      <c r="BN13" s="110"/>
      <c r="BO13" s="110"/>
      <c r="BP13" s="110"/>
      <c r="BQ13" s="116"/>
      <c r="BR13" s="114"/>
      <c r="BS13" s="114" t="e">
        <f>BR14-BS14</f>
        <v>#N/A</v>
      </c>
      <c r="CA13" s="111"/>
      <c r="CB13" s="111"/>
      <c r="CC13" s="111"/>
      <c r="CQ13" s="178" t="str">
        <f t="array" ref="CQ13">IFERROR(INDEX($CQ$19:$CQ$68,MATCH(INDEX($CQ$19:$CQ$68,(SMALL(IF($CQ$19:$CQ$68&lt;&gt;"",ROW($CQ$19:$CQ$68)-ROW($CQ$19)+1),2))),$CQ$19:$CQ$68,0),1),"")</f>
        <v/>
      </c>
      <c r="CR13" s="178" t="str">
        <f>IF(COUNTIF($CQ$12:$CQ$14,CQ13)&gt;1,"X","")</f>
        <v>X</v>
      </c>
      <c r="CS13" s="248"/>
      <c r="CT13" s="245" t="str">
        <f t="array" ref="CT13">IFERROR(INDEX(TeamAcro_A_Pos1,MATCH(TRUE,INDEX((TeamAcro_A_Pos1&lt;&gt;""),),0)),"")</f>
        <v/>
      </c>
      <c r="CU13" s="228" t="str">
        <f t="array" ref="CU13">IFERROR(INDEX(TeamAcro_A_Pos2,MATCH(TRUE,INDEX((TeamAcro_A_Pos2&lt;&gt;""),),0)),"")</f>
        <v/>
      </c>
      <c r="CV13" s="178" t="str">
        <f t="array" aca="1" ref="CV13" ca="1">IFERROR(INDEX(TeamAcro_B_Cons,MATCH(TRUE,INDEX((TeamAcro_B_Cons&lt;&gt;""),),0)),"")</f>
        <v/>
      </c>
      <c r="CW13" s="178" t="str">
        <f t="array" aca="1" ref="CW13" ca="1">IFERROR(INDEX(TeamAcro_B_Conx,MATCH(TRUE,INDEX((TeamAcro_B_Conx&lt;&gt;""),),0)),"")</f>
        <v/>
      </c>
      <c r="CX13" s="178" t="str">
        <f t="array" aca="1" ref="CX13" ca="1">IFERROR(INDEX(TeamAcro_C_Cons,MATCH(TRUE,INDEX((TeamAcro_C_Cons&lt;&gt;""),),0)),"")</f>
        <v/>
      </c>
      <c r="CY13" s="178" t="str">
        <f t="array" aca="1" ref="CY13" ca="1">IFERROR(INDEX(TeamAcro_P_Cons,MATCH(TRUE,INDEX((TeamAcro_P_Cons&lt;&gt;""),),0)),"")</f>
        <v/>
      </c>
      <c r="CZ13" s="178" t="str">
        <f t="array" aca="1" ref="CZ13" ca="1">IFERROR(INDEX(TeamAcro_P_Conx,MATCH(TRUE,INDEX((TeamAcro_P_Conx&lt;&gt;""),),0)),"")</f>
        <v/>
      </c>
      <c r="DA13" s="178" t="str">
        <f t="array" ref="DA13">IFERROR(INDEX(TeamAcro_P_Pos1,MATCH(TRUE,INDEX((TeamAcro_P_Pos1&lt;&gt;""),),0)),"")</f>
        <v/>
      </c>
      <c r="DB13" s="178" t="str">
        <f t="array" ref="DB13">IFERROR(INDEX(TeamAcro_P_Pos2,MATCH(TRUE,INDEX((TeamAcro_P_Pos2&lt;&gt;""),),0)),"")</f>
        <v/>
      </c>
      <c r="DC13" s="230"/>
      <c r="DD13" s="178">
        <f>COUNTIF($DF$19:$DF$68,"A")</f>
        <v>0</v>
      </c>
      <c r="DE13" s="178">
        <f>COUNTIF($DF$19:$DF$68,"B")</f>
        <v>0</v>
      </c>
      <c r="DF13" s="178">
        <f>COUNTIF($DF$19:$DF$68,"C")</f>
        <v>0</v>
      </c>
      <c r="DG13" s="178">
        <f>COUNTIF($DF$19:$DF$68,"P")</f>
        <v>0</v>
      </c>
      <c r="DI13" s="108" t="s">
        <v>1982</v>
      </c>
      <c r="DY13" s="108"/>
      <c r="DZ13" s="108"/>
      <c r="EA13" s="108"/>
      <c r="EB13" s="108"/>
      <c r="EC13" s="108"/>
      <c r="ED13" s="108"/>
      <c r="EE13" s="108"/>
      <c r="EF13" s="108"/>
      <c r="EG13" s="108"/>
      <c r="EH13" s="108"/>
      <c r="EI13" s="108"/>
      <c r="EJ13" s="108"/>
      <c r="EK13" s="108"/>
      <c r="EL13" s="108"/>
      <c r="EM13" s="108"/>
      <c r="EN13" s="108"/>
      <c r="EO13" s="108"/>
      <c r="EP13" s="108"/>
      <c r="EQ13" s="108"/>
      <c r="ER13" s="108"/>
      <c r="ES13" s="108"/>
      <c r="ET13" s="108"/>
      <c r="EU13" s="108"/>
      <c r="EV13" s="108"/>
      <c r="EW13" s="108"/>
      <c r="EX13" s="108"/>
      <c r="EY13" s="108"/>
      <c r="EZ13" s="108"/>
      <c r="FA13" s="108"/>
      <c r="FB13" s="108"/>
      <c r="FC13" s="108"/>
      <c r="FD13" s="108"/>
      <c r="FE13" s="108"/>
      <c r="FF13" s="108"/>
      <c r="FG13" s="108"/>
      <c r="FH13" s="108"/>
      <c r="FI13" s="108"/>
      <c r="FJ13" s="108"/>
      <c r="FL13" s="178" t="s">
        <v>1987</v>
      </c>
      <c r="FM13" s="178" t="s">
        <v>1988</v>
      </c>
      <c r="FN13" s="178" t="s">
        <v>1989</v>
      </c>
      <c r="FO13" s="178" t="s">
        <v>1990</v>
      </c>
      <c r="FP13" s="178" t="s">
        <v>1991</v>
      </c>
    </row>
    <row r="14" spans="1:174" ht="18.75" customHeight="1" thickBot="1" x14ac:dyDescent="0.4">
      <c r="A14" s="19"/>
      <c r="B14" s="25" t="s">
        <v>50</v>
      </c>
      <c r="C14" s="26" t="str">
        <f>IFERROR(MINUTE(INDEX(Data!$F$3:$F$38,MATCH(BR9,Data!$G$3:$G$38,0))),"")</f>
        <v/>
      </c>
      <c r="D14" s="26" t="str">
        <f>IFERROR(SECOND(INDEX(Data!$F$3:$F$38,MATCH(BR9,Data!$G$3:$G$38,0))),"")</f>
        <v/>
      </c>
      <c r="E14" s="26"/>
      <c r="G14" s="193"/>
      <c r="H14" s="193"/>
      <c r="I14" s="193"/>
      <c r="J14" s="193"/>
      <c r="K14" s="193"/>
      <c r="L14" s="193"/>
      <c r="M14" s="193"/>
      <c r="N14" s="193"/>
      <c r="O14" s="193"/>
      <c r="P14" s="224" t="str" cm="1">
        <f t="array" aca="1" ref="P14" ca="1">CELL("Address")</f>
        <v>$N$6</v>
      </c>
      <c r="Q14" s="224" t="str" cm="1">
        <f t="array" aca="1" ref="Q14" ca="1">IF(AND(E20&lt;&gt;"PA",LEFT(INDIRECT(CONCATENATE("F",RIGHT(P14,2))),4)="Acro"),"X","")</f>
        <v/>
      </c>
      <c r="R14" s="193"/>
      <c r="S14" s="20"/>
      <c r="T14" s="20"/>
      <c r="U14" s="20"/>
      <c r="V14" s="20"/>
      <c r="W14" s="199"/>
      <c r="X14" s="200"/>
      <c r="Y14" s="20"/>
      <c r="Z14" s="20"/>
      <c r="AA14" s="56"/>
      <c r="AB14" s="56"/>
      <c r="AC14" s="20"/>
      <c r="AD14" s="20"/>
      <c r="AE14" s="20"/>
      <c r="AF14" s="75"/>
      <c r="AG14" s="75"/>
      <c r="AH14" s="110"/>
      <c r="AI14" s="110"/>
      <c r="AJ14" s="110"/>
      <c r="AK14" s="110"/>
      <c r="AL14" s="110"/>
      <c r="AM14" s="110"/>
      <c r="AN14" s="110"/>
      <c r="AO14" s="110"/>
      <c r="AP14" s="110"/>
      <c r="AQ14" s="110"/>
      <c r="AR14" s="110"/>
      <c r="AS14" s="110"/>
      <c r="AT14" s="110"/>
      <c r="AU14" s="110"/>
      <c r="AV14" s="110"/>
      <c r="AW14" s="110"/>
      <c r="AX14" s="110"/>
      <c r="AY14" s="110"/>
      <c r="AZ14" s="110"/>
      <c r="BA14" s="110"/>
      <c r="BB14" s="110"/>
      <c r="BC14" s="110"/>
      <c r="BD14" s="110"/>
      <c r="BE14" s="110"/>
      <c r="BF14" s="110"/>
      <c r="BG14" s="110"/>
      <c r="BH14" s="110"/>
      <c r="BI14" s="110"/>
      <c r="BJ14" s="110"/>
      <c r="BK14" s="110"/>
      <c r="BL14" s="110"/>
      <c r="BM14" s="110"/>
      <c r="BN14" s="110"/>
      <c r="BO14" s="110"/>
      <c r="BP14" s="110"/>
      <c r="BQ14" s="112"/>
      <c r="BR14" s="114" t="e">
        <f>IF(BS14=INDEX(Data!$F$3:$F$38,MATCH(BR9,Data!$G$3:$G$38,0)),"X",INDEX(Data!$F$3:$F$38,MATCH(BR9,Data!$G$3:$G$38,0))-BR12)</f>
        <v>#N/A</v>
      </c>
      <c r="BS14" s="113" t="e">
        <f>INDEX($BS$19:$BS$55,MATCH("x",$E$19:$E$55,0))</f>
        <v>#N/A</v>
      </c>
      <c r="BT14" s="117">
        <v>2.488425925925926E-3</v>
      </c>
      <c r="CA14" s="111"/>
      <c r="CB14" s="111"/>
      <c r="CC14" s="111"/>
      <c r="CQ14" s="178" t="str">
        <f t="array" ref="CQ14">IFERROR(INDEX($CQ$19:$CQ$68,MATCH(INDEX($CQ$19:$CQ$68,(SMALL(IF($CQ$19:$CQ$68&lt;&gt;"",ROW($CQ$19:$CQ$68)-ROW($CQ$19)+1),3))),$CQ$19:$CQ$68,0),1),"")</f>
        <v/>
      </c>
      <c r="CR14" s="178" t="str">
        <f>IF(COUNTIF($CQ$12:$CQ$14,CQ14)&gt;1,"X","")</f>
        <v>X</v>
      </c>
      <c r="DI14" s="178" t="str">
        <f>IF(COUNTIF(DI20:DI68,"X"),"Yes","")</f>
        <v/>
      </c>
      <c r="DY14" s="108"/>
      <c r="DZ14" s="108"/>
      <c r="EA14" s="108"/>
      <c r="EB14" s="108"/>
      <c r="EC14" s="108"/>
      <c r="ED14" s="108"/>
      <c r="EE14" s="108"/>
      <c r="EF14" s="108" t="s">
        <v>1982</v>
      </c>
      <c r="EG14" s="108"/>
      <c r="EH14" s="108"/>
      <c r="EI14" s="108"/>
      <c r="EJ14" s="108"/>
      <c r="EK14" s="108"/>
      <c r="EL14" s="108"/>
      <c r="EM14" s="108"/>
      <c r="EN14" s="108"/>
      <c r="EO14" s="108"/>
      <c r="EP14" s="108"/>
      <c r="EQ14" s="108"/>
      <c r="ER14" s="108"/>
      <c r="ES14" s="108"/>
      <c r="ET14" s="108"/>
      <c r="EU14" s="108"/>
      <c r="EV14" s="108"/>
      <c r="EW14" s="108"/>
      <c r="EX14" s="108"/>
      <c r="EY14" s="108"/>
      <c r="EZ14" s="108"/>
      <c r="FA14" s="108"/>
      <c r="FB14" s="108"/>
      <c r="FC14" s="108"/>
      <c r="FD14" s="108"/>
      <c r="FE14" s="108"/>
      <c r="FF14" s="108"/>
      <c r="FG14" s="108"/>
      <c r="FH14" s="108"/>
      <c r="FI14" s="108"/>
      <c r="FJ14" s="108"/>
      <c r="FL14" s="178" t="str">
        <f>IF(COUNTIF(TRE_check,RIGHT(FL13,1)),"X","")</f>
        <v/>
      </c>
      <c r="FM14" s="178" t="str">
        <f>IF(COUNTIF(TRE_check,RIGHT(FM13,1)),"X","")</f>
        <v/>
      </c>
      <c r="FN14" s="178" t="str">
        <f>IF(COUNTIF(TRE_check,RIGHT(FN13,1)),"X","")</f>
        <v/>
      </c>
      <c r="FO14" s="178" t="str">
        <f>IF(COUNTIF(TRE_check,RIGHT(FO13,1)),"X","")</f>
        <v/>
      </c>
      <c r="FP14" s="178" t="str">
        <f>IF(COUNTIF(TRE_check,RIGHT(FP13,1)),"X","")</f>
        <v/>
      </c>
    </row>
    <row r="15" spans="1:174" ht="15.75" thickBot="1" x14ac:dyDescent="0.3">
      <c r="A15" s="181" t="s">
        <v>7</v>
      </c>
      <c r="B15" s="182"/>
      <c r="C15" s="182"/>
      <c r="D15" s="183"/>
      <c r="E15" s="183"/>
      <c r="F15" s="183"/>
      <c r="G15" s="183"/>
      <c r="H15" s="183"/>
      <c r="I15" s="183"/>
      <c r="J15" s="234"/>
      <c r="K15" s="234"/>
      <c r="L15" s="234"/>
      <c r="M15" s="234"/>
      <c r="N15" s="234"/>
      <c r="O15" s="234"/>
      <c r="P15" s="234"/>
      <c r="Q15" s="234"/>
      <c r="R15" s="234"/>
      <c r="S15" s="234"/>
      <c r="T15" s="234"/>
      <c r="U15" s="234"/>
      <c r="V15" s="234"/>
      <c r="W15" s="234"/>
      <c r="X15" s="234"/>
      <c r="Y15" s="234"/>
      <c r="Z15" s="234"/>
      <c r="AA15" s="234"/>
      <c r="AB15" s="234"/>
      <c r="AC15" s="234"/>
      <c r="AD15" s="183"/>
      <c r="AE15" s="184"/>
      <c r="AF15" s="75"/>
      <c r="AG15" s="75"/>
      <c r="AH15" s="110"/>
      <c r="AI15" s="110"/>
      <c r="AJ15" s="110"/>
      <c r="AK15" s="110"/>
      <c r="AL15" s="110"/>
      <c r="AM15" s="110"/>
      <c r="AN15" s="110"/>
      <c r="AO15" s="110"/>
      <c r="AP15" s="110"/>
      <c r="AQ15" s="110"/>
      <c r="AR15" s="110"/>
      <c r="AS15" s="110"/>
      <c r="AT15" s="110"/>
      <c r="AU15" s="110"/>
      <c r="AV15" s="110"/>
      <c r="AW15" s="110"/>
      <c r="AX15" s="110"/>
      <c r="AY15" s="110"/>
      <c r="AZ15" s="110"/>
      <c r="BA15" s="110"/>
      <c r="BB15" s="110"/>
      <c r="BC15" s="110"/>
      <c r="BD15" s="110"/>
      <c r="BE15" s="110"/>
      <c r="BF15" s="110"/>
      <c r="BG15" s="110"/>
      <c r="BH15" s="110"/>
      <c r="BI15" s="110"/>
      <c r="BJ15" s="110"/>
      <c r="BK15" s="110"/>
      <c r="BL15" s="110"/>
      <c r="BM15" s="110"/>
      <c r="BN15" s="110"/>
      <c r="BO15" s="110"/>
      <c r="BP15" s="110"/>
      <c r="BQ15" s="118"/>
      <c r="BR15" s="111" t="str">
        <f>IFERROR(INDEX(Data!T3:T38,MATCH(BR9,Data!G3:G38,0)),"")</f>
        <v/>
      </c>
      <c r="BS15" s="111" t="str">
        <f>IFERROR(INDEX(Data!U3:U38,MATCH(BR9,Data!G3:G38,0)),"")</f>
        <v/>
      </c>
      <c r="BT15" s="117">
        <v>2.372685185185075E-3</v>
      </c>
      <c r="CA15" s="111"/>
      <c r="CB15" s="111"/>
      <c r="CC15" s="111"/>
      <c r="CQ15" s="178" t="str">
        <f>IF(OR(CQ12=CQ13,CQ12=CQ14,CQ13=CQ14),"Yes","No")</f>
        <v>Yes</v>
      </c>
      <c r="CR15" s="178" t="str">
        <f>INDEX($CQ$12:$CQ$14,MATCH("X",$CR$12:$CR$14,0))</f>
        <v/>
      </c>
      <c r="CT15" s="135"/>
      <c r="DI15" s="178" t="str">
        <f ca="1">IFERROR(OFFSET(DI20,MATCH("X",DI20:DI68,0),0),"")</f>
        <v/>
      </c>
      <c r="DY15" s="108"/>
      <c r="DZ15" s="108"/>
      <c r="EA15" s="108"/>
      <c r="EB15" s="108"/>
      <c r="EC15" s="108"/>
      <c r="ED15" s="108"/>
      <c r="EE15" s="108"/>
      <c r="EF15" s="178" t="str">
        <f>IF(COUNTIF(EF19:EF68,"&gt;A"),"Yes","")</f>
        <v/>
      </c>
      <c r="EG15" s="108"/>
      <c r="EH15" s="108"/>
      <c r="EI15" s="108"/>
      <c r="EJ15" s="108"/>
      <c r="EK15" s="108"/>
      <c r="EL15" s="108"/>
      <c r="EM15" s="108"/>
      <c r="EN15" s="108"/>
      <c r="EO15" s="108"/>
      <c r="EP15" s="108"/>
      <c r="EQ15" s="108"/>
      <c r="ER15" s="108"/>
      <c r="ES15" s="108"/>
      <c r="ET15" s="108"/>
      <c r="EU15" s="108"/>
      <c r="EV15" s="108"/>
      <c r="EW15" s="108"/>
      <c r="EX15" s="108"/>
      <c r="EY15" s="108"/>
      <c r="EZ15" s="108"/>
      <c r="FA15" s="108"/>
      <c r="FB15" s="135" t="s">
        <v>1981</v>
      </c>
      <c r="FC15" s="108"/>
      <c r="FD15" s="178" t="str">
        <f>IF(COUNTIF(FB17:FG17,0),"No","Yes")</f>
        <v>No</v>
      </c>
      <c r="FE15" s="108"/>
      <c r="FF15" s="108"/>
      <c r="FG15" s="108"/>
      <c r="FH15" s="108"/>
      <c r="FI15" s="108"/>
      <c r="FJ15" s="108"/>
      <c r="FN15" s="111"/>
    </row>
    <row r="16" spans="1:174" ht="15" customHeight="1" x14ac:dyDescent="0.3">
      <c r="A16" s="27"/>
      <c r="C16" s="177"/>
      <c r="D16" s="177"/>
      <c r="E16" s="177"/>
      <c r="F16" s="177"/>
      <c r="G16" s="28"/>
      <c r="H16" s="254" t="s">
        <v>1672</v>
      </c>
      <c r="I16" s="255"/>
      <c r="J16" s="235"/>
      <c r="K16" s="232" t="s">
        <v>2000</v>
      </c>
      <c r="L16" s="232"/>
      <c r="M16" s="232"/>
      <c r="N16" s="232"/>
      <c r="O16" s="232"/>
      <c r="P16" s="232"/>
      <c r="Q16" s="236"/>
      <c r="R16" s="232" t="s">
        <v>2001</v>
      </c>
      <c r="S16" s="232"/>
      <c r="T16" s="232"/>
      <c r="U16" s="232"/>
      <c r="V16" s="232"/>
      <c r="W16" s="237"/>
      <c r="X16" s="232" t="s">
        <v>2002</v>
      </c>
      <c r="Y16" s="232"/>
      <c r="Z16" s="232"/>
      <c r="AA16" s="232"/>
      <c r="AB16" s="232"/>
      <c r="AC16" s="233"/>
      <c r="AD16" s="252" t="str">
        <f>IF($BS$5="OK","HYBRID BONUS","")</f>
        <v/>
      </c>
      <c r="AE16" s="29" t="s">
        <v>52</v>
      </c>
      <c r="AF16" s="75"/>
      <c r="AG16" s="75"/>
      <c r="AH16" s="110"/>
      <c r="AI16" s="110"/>
      <c r="AJ16" s="110"/>
      <c r="AK16" s="110"/>
      <c r="AL16" s="110"/>
      <c r="AM16" s="110"/>
      <c r="AN16" s="110"/>
      <c r="AO16" s="110"/>
      <c r="AP16" s="110"/>
      <c r="AQ16" s="110"/>
      <c r="AR16" s="110"/>
      <c r="AS16" s="110"/>
      <c r="AT16" s="110"/>
      <c r="AU16" s="110"/>
      <c r="AV16" s="110" t="s">
        <v>1752</v>
      </c>
      <c r="AW16" s="110" t="s">
        <v>1753</v>
      </c>
      <c r="AX16" s="110" t="s">
        <v>1754</v>
      </c>
      <c r="AY16" s="110" t="s">
        <v>1755</v>
      </c>
      <c r="AZ16" s="110" t="s">
        <v>1756</v>
      </c>
      <c r="BA16" s="110" t="s">
        <v>1757</v>
      </c>
      <c r="BB16" s="110" t="s">
        <v>1758</v>
      </c>
      <c r="BC16" s="110" t="s">
        <v>1759</v>
      </c>
      <c r="BD16" s="110" t="s">
        <v>1759</v>
      </c>
      <c r="BE16" s="110"/>
      <c r="BF16" s="110"/>
      <c r="BG16" s="110"/>
      <c r="BH16" s="110"/>
      <c r="BI16" s="110"/>
      <c r="BJ16" s="110"/>
      <c r="BK16" s="110"/>
      <c r="BL16" s="110"/>
      <c r="BM16" s="110"/>
      <c r="BN16" s="110"/>
      <c r="BO16" s="110"/>
      <c r="BP16" s="110"/>
      <c r="BQ16" s="119"/>
      <c r="CA16" s="111"/>
      <c r="CB16" s="111"/>
      <c r="CC16" s="111"/>
      <c r="CT16" s="250" t="s">
        <v>1993</v>
      </c>
      <c r="CU16" s="250"/>
      <c r="CV16" s="250"/>
      <c r="CW16" s="250"/>
      <c r="CX16" s="250"/>
      <c r="CY16" s="250"/>
      <c r="CZ16" s="250"/>
      <c r="DA16" s="250"/>
      <c r="DB16" s="250"/>
      <c r="DY16" s="108"/>
      <c r="DZ16" s="108"/>
      <c r="EA16" s="108"/>
      <c r="EB16" s="108"/>
      <c r="EC16" s="108"/>
      <c r="ED16" s="108"/>
      <c r="EE16" s="108"/>
      <c r="EF16" s="108"/>
      <c r="EG16" s="108"/>
      <c r="EH16" s="108"/>
      <c r="EI16" s="108"/>
      <c r="EJ16" s="108"/>
      <c r="EK16" s="108"/>
      <c r="EL16" s="108"/>
      <c r="EM16" s="108"/>
      <c r="EN16" s="108"/>
      <c r="EO16" s="108"/>
      <c r="EP16" s="108"/>
      <c r="EQ16" s="108"/>
      <c r="ER16" s="108"/>
      <c r="ES16" s="108"/>
      <c r="ET16" s="108"/>
      <c r="EU16" s="108"/>
      <c r="EV16" s="108"/>
      <c r="EW16" s="108"/>
      <c r="EX16" s="108"/>
      <c r="EY16" s="108"/>
      <c r="EZ16" s="108"/>
      <c r="FA16" s="108"/>
      <c r="FB16" s="261" t="s">
        <v>1980</v>
      </c>
      <c r="FC16" s="262"/>
      <c r="FD16" s="262"/>
      <c r="FE16" s="262"/>
      <c r="FF16" s="262"/>
      <c r="FG16" s="263"/>
      <c r="FH16" s="108"/>
      <c r="FI16" s="178" t="s">
        <v>2075</v>
      </c>
      <c r="FJ16" s="108"/>
      <c r="FN16" s="111"/>
    </row>
    <row r="17" spans="1:170" ht="25.5" customHeight="1" thickBot="1" x14ac:dyDescent="0.35">
      <c r="A17" s="289" t="s">
        <v>36</v>
      </c>
      <c r="B17" s="290"/>
      <c r="C17" s="291" t="s">
        <v>37</v>
      </c>
      <c r="D17" s="291"/>
      <c r="E17" s="31" t="s">
        <v>571</v>
      </c>
      <c r="F17" s="30" t="s">
        <v>40</v>
      </c>
      <c r="G17" s="32" t="s">
        <v>51</v>
      </c>
      <c r="H17" s="256"/>
      <c r="I17" s="257"/>
      <c r="J17" s="297" t="s">
        <v>55</v>
      </c>
      <c r="K17" s="298"/>
      <c r="L17" s="298"/>
      <c r="M17" s="298"/>
      <c r="N17" s="298"/>
      <c r="O17" s="298"/>
      <c r="P17" s="298"/>
      <c r="Q17" s="298"/>
      <c r="R17" s="298"/>
      <c r="S17" s="298"/>
      <c r="T17" s="298"/>
      <c r="U17" s="298"/>
      <c r="V17" s="298"/>
      <c r="W17" s="298"/>
      <c r="X17" s="298"/>
      <c r="Y17" s="298"/>
      <c r="Z17" s="298"/>
      <c r="AA17" s="298"/>
      <c r="AB17" s="298"/>
      <c r="AC17" s="299"/>
      <c r="AD17" s="253"/>
      <c r="AE17" s="33" t="s">
        <v>53</v>
      </c>
      <c r="AF17" s="75"/>
      <c r="AG17" s="75"/>
      <c r="AH17" s="110"/>
      <c r="AI17" s="110"/>
      <c r="AJ17" s="110"/>
      <c r="AK17" s="110"/>
      <c r="AL17" s="110"/>
      <c r="AM17" s="110"/>
      <c r="AN17" s="110"/>
      <c r="AO17" s="110"/>
      <c r="AP17" s="110"/>
      <c r="AQ17" s="110"/>
      <c r="AR17" s="110"/>
      <c r="AS17" s="110"/>
      <c r="AT17" s="229" t="s">
        <v>1986</v>
      </c>
      <c r="AU17" s="110"/>
      <c r="AV17" s="258" t="s">
        <v>1751</v>
      </c>
      <c r="AW17" s="259"/>
      <c r="AX17" s="259"/>
      <c r="AY17" s="259"/>
      <c r="AZ17" s="259"/>
      <c r="BA17" s="259"/>
      <c r="BB17" s="259"/>
      <c r="BC17" s="259"/>
      <c r="BD17" s="259"/>
      <c r="BE17" s="259"/>
      <c r="BF17" s="259"/>
      <c r="BG17" s="259"/>
      <c r="BH17" s="259"/>
      <c r="BI17" s="259"/>
      <c r="BJ17" s="259"/>
      <c r="BK17" s="259"/>
      <c r="BL17" s="259"/>
      <c r="BM17" s="259"/>
      <c r="BN17" s="259"/>
      <c r="BO17" s="260"/>
      <c r="BP17" s="110"/>
      <c r="BQ17" s="119"/>
      <c r="BS17" s="114">
        <f>MAX(BS19:BS68)</f>
        <v>0</v>
      </c>
      <c r="BT17" s="111" t="str">
        <f>IF(BS17&gt;D12,"Y","N")</f>
        <v>N</v>
      </c>
      <c r="BU17" s="108"/>
      <c r="BV17" s="108"/>
      <c r="BW17" s="192" t="s">
        <v>1761</v>
      </c>
      <c r="BX17" s="261" t="s">
        <v>1772</v>
      </c>
      <c r="BY17" s="262"/>
      <c r="BZ17" s="262"/>
      <c r="CA17" s="262"/>
      <c r="CB17" s="262"/>
      <c r="CC17" s="262"/>
      <c r="CD17" s="262"/>
      <c r="CE17" s="262"/>
      <c r="CF17" s="263"/>
      <c r="CG17" s="261" t="s">
        <v>1807</v>
      </c>
      <c r="CH17" s="262"/>
      <c r="CI17" s="262"/>
      <c r="CJ17" s="262"/>
      <c r="CK17" s="262"/>
      <c r="CL17" s="262"/>
      <c r="CM17" s="262"/>
      <c r="CN17" s="264" t="s">
        <v>1915</v>
      </c>
      <c r="CO17" s="265"/>
      <c r="CP17" s="266"/>
      <c r="CQ17" s="195" t="s">
        <v>1816</v>
      </c>
      <c r="CT17" s="250" t="s">
        <v>1994</v>
      </c>
      <c r="CU17" s="250"/>
      <c r="CV17" s="250" t="s">
        <v>1995</v>
      </c>
      <c r="CW17" s="250"/>
      <c r="CX17" s="178" t="s">
        <v>1996</v>
      </c>
      <c r="CY17" s="250" t="s">
        <v>1997</v>
      </c>
      <c r="CZ17" s="250"/>
      <c r="DA17" s="250"/>
      <c r="DB17" s="250"/>
      <c r="DF17" s="270" t="s">
        <v>2020</v>
      </c>
      <c r="DG17" s="270"/>
      <c r="DH17" s="201"/>
      <c r="DI17" s="201" t="s">
        <v>1896</v>
      </c>
      <c r="DK17" s="108" t="s">
        <v>1809</v>
      </c>
      <c r="DY17" s="108"/>
      <c r="DZ17" s="108"/>
      <c r="EA17" s="108"/>
      <c r="EB17" s="108"/>
      <c r="EC17" s="108"/>
      <c r="ED17" s="108"/>
      <c r="EE17" s="108"/>
      <c r="EF17" s="201" t="s">
        <v>1895</v>
      </c>
      <c r="EG17" s="108"/>
      <c r="EH17" s="108"/>
      <c r="EI17" s="108"/>
      <c r="EJ17" s="108"/>
      <c r="EK17" s="108"/>
      <c r="EL17" s="108"/>
      <c r="EM17" s="108"/>
      <c r="EN17" s="108"/>
      <c r="EO17" s="108"/>
      <c r="EP17" s="108"/>
      <c r="EQ17" s="108"/>
      <c r="ER17" s="108"/>
      <c r="ES17" s="108"/>
      <c r="ET17" s="108"/>
      <c r="EU17" s="108"/>
      <c r="EV17" s="108"/>
      <c r="EW17" s="108"/>
      <c r="EX17" s="108"/>
      <c r="EY17" s="108"/>
      <c r="EZ17" s="108"/>
      <c r="FA17" s="108"/>
      <c r="FB17" s="178">
        <f>SUM(FB19:FB68)</f>
        <v>0</v>
      </c>
      <c r="FC17" s="178">
        <f t="shared" ref="FC17:FF17" si="4">SUM(FC19:FC68)</f>
        <v>0</v>
      </c>
      <c r="FD17" s="178">
        <f t="shared" si="4"/>
        <v>0</v>
      </c>
      <c r="FE17" s="178">
        <f t="shared" si="4"/>
        <v>0</v>
      </c>
      <c r="FF17" s="178">
        <f t="shared" si="4"/>
        <v>0</v>
      </c>
      <c r="FG17" s="178">
        <f>IF(BS4="Yes","",SUM(FG19:FG68))</f>
        <v>0</v>
      </c>
      <c r="FH17" s="108"/>
      <c r="FI17" s="108"/>
      <c r="FJ17" s="108"/>
      <c r="FL17" s="114">
        <v>2.3148148148148146E-4</v>
      </c>
      <c r="FM17" s="114"/>
      <c r="FN17" s="192" t="s">
        <v>1281</v>
      </c>
    </row>
    <row r="18" spans="1:170" ht="12.75" x14ac:dyDescent="0.25">
      <c r="A18" s="27" t="s">
        <v>38</v>
      </c>
      <c r="B18" s="16" t="s">
        <v>39</v>
      </c>
      <c r="C18" s="16" t="s">
        <v>38</v>
      </c>
      <c r="D18" s="16" t="s">
        <v>39</v>
      </c>
      <c r="E18" s="34"/>
      <c r="F18" s="34"/>
      <c r="G18" s="35"/>
      <c r="H18" s="36"/>
      <c r="I18" s="37"/>
      <c r="J18" s="131" t="s">
        <v>1762</v>
      </c>
      <c r="K18" s="131" t="s">
        <v>1806</v>
      </c>
      <c r="L18" s="131" t="s">
        <v>1983</v>
      </c>
      <c r="M18" s="131" t="s">
        <v>1765</v>
      </c>
      <c r="N18" s="131" t="s">
        <v>1766</v>
      </c>
      <c r="O18" s="131" t="s">
        <v>1767</v>
      </c>
      <c r="P18" s="131" t="s">
        <v>1768</v>
      </c>
      <c r="Q18" s="131" t="s">
        <v>1984</v>
      </c>
      <c r="R18" s="131" t="s">
        <v>1985</v>
      </c>
      <c r="S18" s="131"/>
      <c r="T18" s="131"/>
      <c r="U18" s="131"/>
      <c r="V18" s="131"/>
      <c r="W18" s="131"/>
      <c r="X18" s="131"/>
      <c r="Y18" s="131"/>
      <c r="Z18" s="131"/>
      <c r="AA18" s="131"/>
      <c r="AB18" s="131"/>
      <c r="AC18" s="131"/>
      <c r="AD18" s="190"/>
      <c r="AE18" s="39"/>
      <c r="AF18" s="75"/>
      <c r="AG18" s="75"/>
      <c r="AH18" s="110"/>
      <c r="AI18" s="110"/>
      <c r="AJ18" s="110"/>
      <c r="AK18" s="110"/>
      <c r="AL18" s="110"/>
      <c r="AM18" s="110"/>
      <c r="AN18" s="110"/>
      <c r="AO18" s="110"/>
      <c r="AP18" s="110"/>
      <c r="AQ18" s="110"/>
      <c r="AR18" s="110"/>
      <c r="AS18" s="110"/>
      <c r="AT18" s="110"/>
      <c r="AU18" s="110"/>
      <c r="AV18" s="179">
        <v>1</v>
      </c>
      <c r="AW18" s="179">
        <v>2</v>
      </c>
      <c r="AX18" s="179">
        <v>3</v>
      </c>
      <c r="AY18" s="179">
        <v>4</v>
      </c>
      <c r="AZ18" s="179">
        <v>5</v>
      </c>
      <c r="BA18" s="179">
        <v>6</v>
      </c>
      <c r="BB18" s="179">
        <v>7</v>
      </c>
      <c r="BC18" s="179">
        <v>8</v>
      </c>
      <c r="BD18" s="179">
        <v>9</v>
      </c>
      <c r="BE18" s="179">
        <v>10</v>
      </c>
      <c r="BF18" s="179">
        <v>11</v>
      </c>
      <c r="BG18" s="179">
        <v>12</v>
      </c>
      <c r="BH18" s="179">
        <v>13</v>
      </c>
      <c r="BI18" s="179">
        <v>14</v>
      </c>
      <c r="BJ18" s="179">
        <v>15</v>
      </c>
      <c r="BK18" s="179">
        <v>16</v>
      </c>
      <c r="BL18" s="179">
        <v>17</v>
      </c>
      <c r="BM18" s="179">
        <v>18</v>
      </c>
      <c r="BN18" s="179">
        <v>19</v>
      </c>
      <c r="BO18" s="179">
        <v>20</v>
      </c>
      <c r="BP18" s="110"/>
      <c r="BQ18" s="110"/>
      <c r="BS18" s="114">
        <v>0</v>
      </c>
      <c r="BT18" s="114"/>
      <c r="BU18" s="108" t="e">
        <f>BT18/BS17</f>
        <v>#DIV/0!</v>
      </c>
      <c r="BV18" s="108"/>
      <c r="BW18" s="108" t="s">
        <v>1771</v>
      </c>
      <c r="BX18" s="108" t="s">
        <v>1762</v>
      </c>
      <c r="BY18" s="108" t="s">
        <v>1763</v>
      </c>
      <c r="BZ18" s="108" t="s">
        <v>1764</v>
      </c>
      <c r="CA18" s="108" t="s">
        <v>1765</v>
      </c>
      <c r="CB18" s="108" t="s">
        <v>1766</v>
      </c>
      <c r="CC18" s="108" t="s">
        <v>1767</v>
      </c>
      <c r="CD18" s="108" t="s">
        <v>1768</v>
      </c>
      <c r="CE18" s="108" t="s">
        <v>1769</v>
      </c>
      <c r="CF18" s="108" t="s">
        <v>1770</v>
      </c>
      <c r="CG18" s="108" t="s">
        <v>1762</v>
      </c>
      <c r="CH18" s="108" t="s">
        <v>1763</v>
      </c>
      <c r="CI18" s="108" t="s">
        <v>1764</v>
      </c>
      <c r="CJ18" s="108" t="s">
        <v>1765</v>
      </c>
      <c r="CK18" s="108" t="s">
        <v>1766</v>
      </c>
      <c r="CL18" s="108" t="s">
        <v>1767</v>
      </c>
      <c r="CM18" s="108" t="s">
        <v>1768</v>
      </c>
      <c r="CN18" s="108" t="s">
        <v>1769</v>
      </c>
      <c r="CO18" s="108" t="s">
        <v>1770</v>
      </c>
      <c r="CT18" s="178" t="s">
        <v>1765</v>
      </c>
      <c r="CU18" s="178" t="s">
        <v>1766</v>
      </c>
      <c r="CV18" s="178" t="s">
        <v>1762</v>
      </c>
      <c r="CW18" s="178" t="s">
        <v>1763</v>
      </c>
      <c r="CX18" s="178" t="s">
        <v>1762</v>
      </c>
      <c r="CY18" s="178" t="s">
        <v>1762</v>
      </c>
      <c r="CZ18" s="178" t="s">
        <v>1763</v>
      </c>
      <c r="DA18" s="178" t="s">
        <v>1765</v>
      </c>
      <c r="DB18" s="178" t="s">
        <v>1766</v>
      </c>
      <c r="DC18" s="178" t="s">
        <v>1999</v>
      </c>
      <c r="DD18" s="178" t="s">
        <v>1998</v>
      </c>
      <c r="DF18" s="244" t="s">
        <v>2021</v>
      </c>
      <c r="DG18" s="178" t="s">
        <v>2023</v>
      </c>
      <c r="DI18" s="108" t="s">
        <v>1992</v>
      </c>
      <c r="DK18" s="108">
        <v>1</v>
      </c>
      <c r="DL18" s="108">
        <v>2</v>
      </c>
      <c r="DM18" s="108">
        <v>3</v>
      </c>
      <c r="DN18" s="108">
        <v>4</v>
      </c>
      <c r="DO18" s="108">
        <v>5</v>
      </c>
      <c r="DP18" s="108">
        <v>6</v>
      </c>
      <c r="DQ18" s="108">
        <v>7</v>
      </c>
      <c r="DR18" s="108">
        <v>8</v>
      </c>
      <c r="DS18" s="108">
        <v>9</v>
      </c>
      <c r="DT18" s="108">
        <v>10</v>
      </c>
      <c r="DU18" s="108">
        <v>11</v>
      </c>
      <c r="DV18" s="108">
        <v>12</v>
      </c>
      <c r="DW18" s="108">
        <v>13</v>
      </c>
      <c r="DX18" s="108">
        <v>14</v>
      </c>
      <c r="DY18" s="108">
        <v>15</v>
      </c>
      <c r="DZ18" s="108">
        <v>16</v>
      </c>
      <c r="EA18" s="108">
        <v>17</v>
      </c>
      <c r="EB18" s="108">
        <v>18</v>
      </c>
      <c r="EC18" s="108">
        <v>19</v>
      </c>
      <c r="ED18" s="108">
        <v>20</v>
      </c>
      <c r="EE18" s="108"/>
      <c r="EF18" s="108" t="s">
        <v>1894</v>
      </c>
      <c r="EG18" s="108">
        <v>1</v>
      </c>
      <c r="EH18" s="108">
        <v>2</v>
      </c>
      <c r="EI18" s="108">
        <v>3</v>
      </c>
      <c r="EJ18" s="108">
        <v>4</v>
      </c>
      <c r="EK18" s="108">
        <v>5</v>
      </c>
      <c r="EL18" s="108">
        <v>6</v>
      </c>
      <c r="EM18" s="108">
        <v>7</v>
      </c>
      <c r="EN18" s="108">
        <v>8</v>
      </c>
      <c r="EO18" s="108">
        <v>9</v>
      </c>
      <c r="EP18" s="108">
        <v>10</v>
      </c>
      <c r="EQ18" s="108">
        <v>11</v>
      </c>
      <c r="ER18" s="108">
        <v>12</v>
      </c>
      <c r="ES18" s="108">
        <v>13</v>
      </c>
      <c r="ET18" s="108">
        <v>14</v>
      </c>
      <c r="EU18" s="108">
        <v>15</v>
      </c>
      <c r="EV18" s="108">
        <v>16</v>
      </c>
      <c r="EW18" s="108">
        <v>17</v>
      </c>
      <c r="EX18" s="108">
        <v>18</v>
      </c>
      <c r="EY18" s="108">
        <v>19</v>
      </c>
      <c r="EZ18" s="108">
        <v>20</v>
      </c>
      <c r="FA18" s="108"/>
      <c r="FB18" s="178" t="s">
        <v>1810</v>
      </c>
      <c r="FC18" s="178" t="s">
        <v>1811</v>
      </c>
      <c r="FD18" s="178" t="s">
        <v>1812</v>
      </c>
      <c r="FE18" s="178" t="s">
        <v>631</v>
      </c>
      <c r="FF18" s="178" t="s">
        <v>1676</v>
      </c>
      <c r="FG18" s="178" t="s">
        <v>632</v>
      </c>
      <c r="FH18" s="108"/>
      <c r="FI18" s="108"/>
      <c r="FJ18" s="108"/>
      <c r="FL18" s="111" t="s">
        <v>633</v>
      </c>
      <c r="FN18" s="111"/>
    </row>
    <row r="19" spans="1:170" ht="12.75" x14ac:dyDescent="0.25">
      <c r="A19" s="40" t="str">
        <f>IF(C14="","",0)</f>
        <v/>
      </c>
      <c r="B19" s="41" t="str">
        <f>IF(D14="","",0)</f>
        <v/>
      </c>
      <c r="C19" s="51"/>
      <c r="D19" s="51"/>
      <c r="E19" s="9"/>
      <c r="F19" s="52"/>
      <c r="G19" s="43" t="str">
        <f>IF(F19&lt;&gt;"",IF(OR(F19="Transition",F19="Transition - Surface Connection"),0,1),"")</f>
        <v/>
      </c>
      <c r="H19" s="57" t="str">
        <f>IFERROR(IF(E20="3","",IF(OR(F19="Hybrid - min 4 swimmers (no DD)",LEFT(F19,5)="Trans"),"No DD",CONCATENATE("BM = ",I20))),"")</f>
        <v/>
      </c>
      <c r="I19" s="58"/>
      <c r="J19" s="130"/>
      <c r="K19" s="137"/>
      <c r="L19" s="137"/>
      <c r="M19" s="137"/>
      <c r="N19" s="137"/>
      <c r="O19" s="137"/>
      <c r="P19" s="137"/>
      <c r="Q19" s="137"/>
      <c r="R19" s="137"/>
      <c r="S19" s="137"/>
      <c r="T19" s="137"/>
      <c r="U19" s="137"/>
      <c r="V19" s="137"/>
      <c r="W19" s="137"/>
      <c r="X19" s="137"/>
      <c r="Y19" s="137"/>
      <c r="Z19" s="137"/>
      <c r="AA19" s="137"/>
      <c r="AB19" s="137"/>
      <c r="AC19" s="137"/>
      <c r="AD19" s="191"/>
      <c r="AE19" s="44"/>
      <c r="AF19" s="75"/>
      <c r="AG19" s="75"/>
      <c r="AH19" s="110"/>
      <c r="AI19" s="110"/>
      <c r="AJ19" s="110"/>
      <c r="AK19" s="110"/>
      <c r="AL19" s="110"/>
      <c r="AM19" s="110"/>
      <c r="AN19" s="110"/>
      <c r="AO19" s="110"/>
      <c r="AP19" s="110"/>
      <c r="AQ19" s="110"/>
      <c r="AR19" s="110"/>
      <c r="AS19" s="110"/>
      <c r="AT19" s="110" t="str">
        <f>IFERROR(IF(F19&lt;&gt;"",INDEX(Parts_Active,MATCH(F19,Parts_Active,0)),""),"No")</f>
        <v/>
      </c>
      <c r="AU19" s="110"/>
      <c r="AV19" s="110" t="str">
        <f>IF($E20="H",IF($F19="Hybrid - Thrust + 2 connections","Hybrid_Mix_Req","HybridDD_Code"),IF($E20=3,"TreDD_Code",IF($E20="PA","AcroPair_Code",IF(LEFT($F19,4)="Acro",CONCATENATE(AV$16,$E20,"_Code"),"Data!$BI$1:$BI$5"))))</f>
        <v>Data!$BI$1:$BI$5</v>
      </c>
      <c r="AW19" s="110" t="str">
        <f t="shared" ref="AW19:AX19" si="5">IF($E20="H",IF($F19="Hybrid - Thrust + 2 connections","Hybrid_Mix_Req","HybridDD_Code"),IF($E20=3,"TreDD_Code",IF($E20="PA","AcroPair_Code",IF(LEFT($F19,4)="Acro",CONCATENATE(AW$16,$E20,"_Code"),"Data!$BI$1:$BI$5"))))</f>
        <v>Data!$BI$1:$BI$5</v>
      </c>
      <c r="AX19" s="110" t="str">
        <f t="shared" si="5"/>
        <v>Data!$BI$1:$BI$5</v>
      </c>
      <c r="AY19" s="110" t="str">
        <f>IF($E20="H",IF($F19="Hybrid - Thrust + 2 connections","Data!$BI$1:$BI$5","HybridDD_Code"),IF($E20=3,"Data!$BI$1:$BI$5",IF(LEFT($F19,4)="Acro",CONCATENATE(AY$16,$E20,"_Code"),IF($E20="PA","","Data!$BI$1:$BI$5"))))</f>
        <v>Data!$BI$1:$BI$5</v>
      </c>
      <c r="AZ19" s="110" t="str">
        <f t="shared" ref="AZ19:BD19" si="6">IF($E20="H",IF($F19="Hybrid - Thrust + 2 connections","Data!$BI$1:$BI$5","HybridDD_Code"),IF($E20=3,"Data!$BI$1:$BI$5",IF(LEFT($F19,4)="Acro",CONCATENATE(AZ$16,$E20,"_Code"),IF($E20="PA","","Data!$BI$1:$BI$5"))))</f>
        <v>Data!$BI$1:$BI$5</v>
      </c>
      <c r="BA19" s="110" t="str">
        <f t="shared" si="6"/>
        <v>Data!$BI$1:$BI$5</v>
      </c>
      <c r="BB19" s="110" t="str">
        <f t="shared" si="6"/>
        <v>Data!$BI$1:$BI$5</v>
      </c>
      <c r="BC19" s="110" t="str">
        <f t="shared" si="6"/>
        <v>Data!$BI$1:$BI$5</v>
      </c>
      <c r="BD19" s="110" t="str">
        <f t="shared" si="6"/>
        <v>Data!$BI$1:$BI$5</v>
      </c>
      <c r="BE19" s="110" t="str">
        <f>IF($E20="H",IF($F19="Hybrid - Thrust + 2 connections","Data!$BI$1:$BI$5","HybridDD_Code"),"Data!$BI$1:$BI$5")</f>
        <v>Data!$BI$1:$BI$5</v>
      </c>
      <c r="BF19" s="110" t="str">
        <f t="shared" ref="BF19:BO28" si="7">$BE19</f>
        <v>Data!$BI$1:$BI$5</v>
      </c>
      <c r="BG19" s="110" t="str">
        <f t="shared" si="7"/>
        <v>Data!$BI$1:$BI$5</v>
      </c>
      <c r="BH19" s="110" t="str">
        <f t="shared" si="7"/>
        <v>Data!$BI$1:$BI$5</v>
      </c>
      <c r="BI19" s="110" t="str">
        <f t="shared" si="7"/>
        <v>Data!$BI$1:$BI$5</v>
      </c>
      <c r="BJ19" s="110" t="str">
        <f t="shared" si="7"/>
        <v>Data!$BI$1:$BI$5</v>
      </c>
      <c r="BK19" s="110" t="str">
        <f t="shared" si="7"/>
        <v>Data!$BI$1:$BI$5</v>
      </c>
      <c r="BL19" s="110" t="str">
        <f t="shared" si="7"/>
        <v>Data!$BI$1:$BI$5</v>
      </c>
      <c r="BM19" s="110" t="str">
        <f t="shared" si="7"/>
        <v>Data!$BI$1:$BI$5</v>
      </c>
      <c r="BN19" s="110" t="str">
        <f t="shared" si="7"/>
        <v>Data!$BI$1:$BI$5</v>
      </c>
      <c r="BO19" s="110" t="str">
        <f t="shared" si="7"/>
        <v>Data!$BI$1:$BI$5</v>
      </c>
      <c r="BP19" s="110"/>
      <c r="BQ19" s="110"/>
      <c r="BR19" s="113" t="e">
        <f>TIME(0,A19,B19)</f>
        <v>#VALUE!</v>
      </c>
      <c r="BS19" s="114">
        <f>TIME(0,C19,D19)</f>
        <v>0</v>
      </c>
      <c r="BT19" s="114" t="str">
        <f>IF(BS19&gt;$D$12,"X","")</f>
        <v/>
      </c>
      <c r="BU19" s="108" t="str">
        <f>IF(AND(F19="Hybrid - Thrust + 2 connections",OR(LEFT(J19,1)="T",LEFT(K19,1)="T",LEFT(L19,1)="T",LEFT(NG19,1)="T",LEFT(M19,1)="T",LEFT(N19,1)="T",LEFT(O19,1)="T",LEFT(P19,1)="T",LEFT(Q19,1)="T",LEFT(R19,1)="T",LEFT(S19,1)="T",LEFT(T19,1)="T",LEFT(U19,1)="T",LEFT(V19,1)="T",LEFT(W19,1)="T",LEFT(X19,1)="T",LEFT(AA19,1)="T",LEFT(AB19,1)="T",LEFT(AC19,1)="T")),IF(OR(LEN(J19)=2,LEN(K19)=2,LEN(L19)=2,LEN(M19)=2,LEN(N19)=2,LEN(O19)=2,LEN(P19)=2,LEN(Q19)=2,LEN(R19)=2,LEN(S19)=2,LEN(T19)=2,LEN(U19)=2,LEN(V19)=2,LEN(W19)=2,LEN(X19)=2,LEN(Y19)=2,LEN(Z19)=2,LEN(AA19)=2,LEN(AB19)=2,LEN(AC19)=2),"X",""),"")</f>
        <v/>
      </c>
      <c r="BV19" s="108"/>
      <c r="BW19" s="108" t="str">
        <f>IF(LEFT(F19,4)="Acro",IF(AND(N19&lt;&gt;"",M19=RIGHT(N19,2)),"X","OK"),"")</f>
        <v/>
      </c>
      <c r="BX19" s="110" t="str">
        <f t="shared" ref="BX19:CE19" si="8">IFERROR(IF(AND(LEFT($F19,4)="Acro",INDEX(Requ_App,MATCH(AV19,Requ_Code,0))="No"),"X",""),"")</f>
        <v/>
      </c>
      <c r="BY19" s="110" t="str">
        <f t="shared" si="8"/>
        <v/>
      </c>
      <c r="BZ19" s="110" t="str">
        <f t="shared" si="8"/>
        <v/>
      </c>
      <c r="CA19" s="110" t="str">
        <f t="shared" si="8"/>
        <v/>
      </c>
      <c r="CB19" s="110" t="str">
        <f t="shared" si="8"/>
        <v/>
      </c>
      <c r="CC19" s="110" t="str">
        <f t="shared" si="8"/>
        <v/>
      </c>
      <c r="CD19" s="110" t="str">
        <f t="shared" si="8"/>
        <v/>
      </c>
      <c r="CE19" s="110" t="str">
        <f t="shared" si="8"/>
        <v/>
      </c>
      <c r="CF19" s="110" t="str">
        <f>IFERROR(IF(AND(LEFT($F19,4)="Acro",INDEX(Requ_App,MATCH(BC19,Requ_Code,0))="No"),"X",""),"")</f>
        <v/>
      </c>
      <c r="CG19" s="108" t="str">
        <f t="shared" ref="CG19:CG50" si="9">IF(OR($E20="A",$E20="B",$E20="C",$E20="P"),"Z","")</f>
        <v/>
      </c>
      <c r="CH19" s="108" t="str">
        <f t="shared" ref="CH19:CH50" si="10">IF(OR($E20="B",$E20="P"),"Z","")</f>
        <v/>
      </c>
      <c r="CI19" s="108" t="str">
        <f t="shared" ref="CI19:CI50" si="11">IF(OR($E20="A",$E20="C"),"Z","")</f>
        <v/>
      </c>
      <c r="CJ19" s="108" t="str">
        <f t="shared" ref="CJ19:CJ50" si="12">IF(OR($E20="A",$E20="B",$E20="C",$E20="P"),"Z","")</f>
        <v/>
      </c>
      <c r="CN19" s="108">
        <f>IF(AND(E20="A",OR(Q19="Grip",Q19="Conn",Q19="Catch")),"A1",IF(AND(E20="A",OR(Q19="Hula",Q19="RetSq",Q19="RetPa")),"A2",IF(AND(E20="B",OR(Q19="Twirl",Q19="RotF")),"B1",IF(AND(E20="B",OR(Q19="Moon",Q19="Mov")),"B2",IF(AND(E20="B",Q19="Hold"),"B3",IF(AND(E20="P",OR(Q19="Porp",Q19="Spitch")),"P1",IF(AND(E20="P",OR(Q19="Dive",Q19="Ps1",Q19="Ps1t0.5",Q19="Ps1op",Q19="Ps1t0,5o",Q19="Ps1t1",Q19="CH+")),"P2",IF(AND(E20="P",OR(Q19="Spider",Q19="Climb")),"P3",IF(AND(E20="P",OR(Q19="Fall",Q19="FTurn")),"P4",IF(AND(E20="C",OR(Q19="Jump",Q19="Jump&gt;",Q19="On1Foot",Q19="1F&gt;1F")),"C1",IF(AND(E20="C",OR(Q19="Run",Q19="BRun")),"C2",1)))))))))))</f>
        <v>1</v>
      </c>
      <c r="CO19" s="108">
        <f>IF(AND(E20="A",OR(R19="Grip",R19="Conn",R19="Catch")),"A1",IF(AND(E20="A",OR(R19="Hula",R19="RetSq",R19="RetPa")),"A2",IF(AND(E20="B",OR(R19="Twirl",R19="RotF")),"B1",IF(AND(E20="B",OR(R19="Moon",R19="Mov")),"B3",IF(AND(E20="B",R19="Hold"),"B2",IF(AND(E20="P",OR(R19="Porp",R19="Spitch")),"P1",IF(AND(E20="P",OR(R19="Dive",R19="Ps1",R19="Ps1t0.5",R19="Ps1op",R19="Ps1t0,5o",R19="Ps1t1",R19="CH+")),"P2",IF(AND(E20="P",OR(R19="Spider",R19="Climb")),"P3",IF(AND(E20="P",OR(R19="Fall",R19="FTurn")),"P4",IF(AND(E20="C",OR(R19="Jump",R19="Jump&gt;",R19="On1Foot",R19="1F&gt;1F")),"C1",IF(AND(E20="C",OR(R19="Run",R19="BRun")),"C2",2)))))))))))</f>
        <v>2</v>
      </c>
      <c r="CP19" s="108" t="str">
        <f>IF(AND(LEFT(F19,4)="Acro",Q19&lt;&gt;"",OR(Q19=R19,CN19=CO19)),IF(R19="C-Roll","","X"),IF(OR(AND(E20="A",Q19="Catch",R19&lt;&gt;"Dbl"),AND(E20="A",R19="Catch",Q19&lt;&gt;"Dbl")),"X",""))</f>
        <v/>
      </c>
      <c r="CQ19" s="108" t="str">
        <f>IF(E20="PA",J19,"")</f>
        <v/>
      </c>
      <c r="CR19" s="108">
        <v>1</v>
      </c>
      <c r="CT19" s="108" t="str">
        <f>IF(AND($E20="A",COUNTIF($DC$19:$DD$68,DC19)&gt;1),DC19,"")</f>
        <v/>
      </c>
      <c r="CU19" s="108" t="str">
        <f>IF(AND($E20="A",COUNTIF($DC$19:$DD$68,DD19)&gt;1),DD19,"")</f>
        <v/>
      </c>
      <c r="CV19" s="108" t="str">
        <f ca="1">IF(AND($E20="B",COUNTIF($J$19:$J$68,J19)&gt;1),J19,"")</f>
        <v/>
      </c>
      <c r="CW19" s="108" t="str">
        <f ca="1">IF(AND($E20="B",COUNTIF($K$19:$K$68,K19)&gt;1),K19,"")</f>
        <v/>
      </c>
      <c r="CX19" s="108" t="str">
        <f ca="1">IF(AND($E20="C",COUNTIF($J$19:$J$68,J19)&gt;1),J19,"")</f>
        <v/>
      </c>
      <c r="CY19" s="108" t="str">
        <f ca="1">IF(AND($E20="P",COUNTIF($J$19:$J$68,J19)&gt;1),J19,"")</f>
        <v/>
      </c>
      <c r="CZ19" s="108" t="str">
        <f ca="1">IF(AND($E20="P",COUNTIF($K$19:$K$68,K19)&gt;1),K19,"")</f>
        <v/>
      </c>
      <c r="DA19" s="108" t="str">
        <f>IF(AND($E20="P",COUNTIF($DC$19:$DD$68,DC19)&gt;1),DC19,"")</f>
        <v/>
      </c>
      <c r="DB19" s="108" t="str">
        <f>IF(AND($E20="P",COUNTIF($DC$19:$DD$68,DD19)&gt;1),DD19,"")</f>
        <v/>
      </c>
      <c r="DC19" s="108" t="str">
        <f>IFERROR(IF(OR(E20="A",E20="P"),M19,""),"")</f>
        <v/>
      </c>
      <c r="DD19" s="108" t="str">
        <f>IFERROR(IF(OR(E20="A",E20="P"),RIGHT(N19,2),""),"")</f>
        <v/>
      </c>
      <c r="DF19" s="108" t="str">
        <f>IF(AND($F$8="Open Team Acrobatic",LEFT(F19,4)="Acro"),E20,"")</f>
        <v/>
      </c>
      <c r="DG19" s="108" t="str">
        <f>IFERROR(IF(HLOOKUP(DF19,$DD$12:$DG$13,2,FALSE)&gt;2,"X",""),"")</f>
        <v/>
      </c>
      <c r="DI19" s="108" t="str">
        <f>IF(OR(AND(F19="Hybrid - Thrust + 2 connections",DI20="T"),AND(F19="Hybrid - Free",DI20&lt;&gt;"")),"X","")</f>
        <v/>
      </c>
      <c r="DK19" s="108">
        <f t="shared" ref="DK19:ED19" si="13">IFERROR(IF(AND($E20="H",J19&lt;&gt;""),IF(OR(LEFT(J19,1)="T",LEFT(J19,1)="S",LEFT(J19,1)="A",LEFT(J19,1)="F",LEFT(J19,1)="C"),LEFT(J19,1),"R"),DK$18),"")</f>
        <v>1</v>
      </c>
      <c r="DL19" s="108">
        <f t="shared" si="13"/>
        <v>2</v>
      </c>
      <c r="DM19" s="108">
        <f t="shared" si="13"/>
        <v>3</v>
      </c>
      <c r="DN19" s="108">
        <f t="shared" si="13"/>
        <v>4</v>
      </c>
      <c r="DO19" s="108">
        <f t="shared" si="13"/>
        <v>5</v>
      </c>
      <c r="DP19" s="108">
        <f t="shared" si="13"/>
        <v>6</v>
      </c>
      <c r="DQ19" s="108">
        <f t="shared" si="13"/>
        <v>7</v>
      </c>
      <c r="DR19" s="108">
        <f t="shared" si="13"/>
        <v>8</v>
      </c>
      <c r="DS19" s="108">
        <f t="shared" si="13"/>
        <v>9</v>
      </c>
      <c r="DT19" s="108">
        <f t="shared" si="13"/>
        <v>10</v>
      </c>
      <c r="DU19" s="108">
        <f t="shared" si="13"/>
        <v>11</v>
      </c>
      <c r="DV19" s="108">
        <f t="shared" si="13"/>
        <v>12</v>
      </c>
      <c r="DW19" s="108">
        <f t="shared" si="13"/>
        <v>13</v>
      </c>
      <c r="DX19" s="108">
        <f t="shared" si="13"/>
        <v>14</v>
      </c>
      <c r="DY19" s="108">
        <f t="shared" si="13"/>
        <v>15</v>
      </c>
      <c r="DZ19" s="108">
        <f t="shared" si="13"/>
        <v>16</v>
      </c>
      <c r="EA19" s="108">
        <f t="shared" si="13"/>
        <v>17</v>
      </c>
      <c r="EB19" s="108">
        <f t="shared" si="13"/>
        <v>18</v>
      </c>
      <c r="EC19" s="108">
        <f t="shared" si="13"/>
        <v>19</v>
      </c>
      <c r="ED19" s="108">
        <f t="shared" si="13"/>
        <v>20</v>
      </c>
      <c r="EE19" s="108"/>
      <c r="EF19" s="108"/>
      <c r="EG19" s="108">
        <f t="shared" ref="EG19:EZ19" si="14">IFERROR(IF(J19&lt;&gt;"",UPPER(J19),EG$18),EG$18)</f>
        <v>1</v>
      </c>
      <c r="EH19" s="108">
        <f t="shared" si="14"/>
        <v>2</v>
      </c>
      <c r="EI19" s="108">
        <f t="shared" si="14"/>
        <v>3</v>
      </c>
      <c r="EJ19" s="108">
        <f t="shared" si="14"/>
        <v>4</v>
      </c>
      <c r="EK19" s="108">
        <f t="shared" si="14"/>
        <v>5</v>
      </c>
      <c r="EL19" s="108">
        <f t="shared" si="14"/>
        <v>6</v>
      </c>
      <c r="EM19" s="108">
        <f t="shared" si="14"/>
        <v>7</v>
      </c>
      <c r="EN19" s="108">
        <f t="shared" si="14"/>
        <v>8</v>
      </c>
      <c r="EO19" s="108">
        <f t="shared" si="14"/>
        <v>9</v>
      </c>
      <c r="EP19" s="108">
        <f t="shared" si="14"/>
        <v>10</v>
      </c>
      <c r="EQ19" s="108">
        <f t="shared" si="14"/>
        <v>11</v>
      </c>
      <c r="ER19" s="108">
        <f t="shared" si="14"/>
        <v>12</v>
      </c>
      <c r="ES19" s="108">
        <f t="shared" si="14"/>
        <v>13</v>
      </c>
      <c r="ET19" s="108">
        <f t="shared" si="14"/>
        <v>14</v>
      </c>
      <c r="EU19" s="108">
        <f t="shared" si="14"/>
        <v>15</v>
      </c>
      <c r="EV19" s="108">
        <f t="shared" si="14"/>
        <v>16</v>
      </c>
      <c r="EW19" s="108">
        <f t="shared" si="14"/>
        <v>17</v>
      </c>
      <c r="EX19" s="108">
        <f t="shared" si="14"/>
        <v>18</v>
      </c>
      <c r="EY19" s="108">
        <f t="shared" si="14"/>
        <v>19</v>
      </c>
      <c r="EZ19" s="108">
        <f t="shared" si="14"/>
        <v>20</v>
      </c>
      <c r="FA19" s="108"/>
      <c r="FB19" s="108">
        <f>COUNTIF($DK19:$ED19,FB$18)</f>
        <v>0</v>
      </c>
      <c r="FC19" s="108">
        <f t="shared" ref="FC19:FG33" si="15">COUNTIF($DK19:$ED19,FC$18)</f>
        <v>0</v>
      </c>
      <c r="FD19" s="108">
        <f t="shared" si="15"/>
        <v>0</v>
      </c>
      <c r="FE19" s="108">
        <f t="shared" si="15"/>
        <v>0</v>
      </c>
      <c r="FF19" s="108">
        <f t="shared" si="15"/>
        <v>0</v>
      </c>
      <c r="FG19" s="108">
        <f t="shared" si="15"/>
        <v>0</v>
      </c>
      <c r="FH19" s="108"/>
      <c r="FI19" s="108" t="str">
        <f>IF(AND($F19="Hybrid - Thrust + 2 connections",FI20=0,LEFT($J19,1)="C",LEFT($K19,1)="C",LEFT($L19,1)="C"),"X","")</f>
        <v/>
      </c>
      <c r="FJ19" s="108"/>
      <c r="FL19" s="120" t="e">
        <f>IF(OR(LEFT(#REF!,2)="PL",LEFT(#REF!,2)="PL",LEFT(#REF!,2)="PL",LEFT(#REF!,2)="PL",LEFT(#REF!,2)="PL"),IF($BS$17-BR19&gt;$FL$17,"X",""),"")</f>
        <v>#REF!</v>
      </c>
      <c r="FM19" s="120"/>
      <c r="FN19" s="111" t="str">
        <f>IF(E20=3,_xlfn.NUMBERVALUE(LEFT(J19,1)),"")</f>
        <v/>
      </c>
    </row>
    <row r="20" spans="1:170" ht="12.75" x14ac:dyDescent="0.25">
      <c r="A20" s="40"/>
      <c r="B20" s="41"/>
      <c r="C20" s="41"/>
      <c r="D20" s="41"/>
      <c r="E20" s="21" t="str">
        <f>IF(F19="Acrobatic - Pair","PA",IF(F19="Acrobatic Airborn","A",IF(F19="Acrobatic Balance","B",IF(F19="Acrobatic Combined","C",IF(F19="Acrobatic Platform","P",IF(F19="Technical Required Element",3,IF(LEFT(F19,4)="Hybr","H","")))))))</f>
        <v/>
      </c>
      <c r="F20" s="21" t="str">
        <f>IF(AND(F19="Hybrid - Thrust + 2 connections",BU19="X"),"Hybrid - Thrust",IF(OR(E20="A",E20="B",E20="C",E20="P"),"Acrobatic",""))</f>
        <v/>
      </c>
      <c r="G20" s="43"/>
      <c r="H20" s="222" t="str">
        <f>IF(E20="PA",IF(OR(LEFT(J19,1)="L",LEFT(J19,1)="S"),"A-Pair-Lift",IF(OR(LEFT(J19,1)="W",LEFT(J19,1)="T"),"A-Pair-Throw",IF(LEFT(J19,1)="J","A-Pair-Jump","A-Pair"))),IF(OR(E20="A",E20="B",E20="C",E20="P"),CONCATENATE("Acro-",E20),""))</f>
        <v/>
      </c>
      <c r="I20" s="216" t="e">
        <f>IF(OR(F19="Hybrid - min 4 swimmers (no DD)",LEFT(F19,5)="Trans"),0,INDEX($BV$3:$BV$9,MATCH(E20,$BU$3:$BU$9,0)))</f>
        <v>#N/A</v>
      </c>
      <c r="J20" s="210">
        <f ca="1">IFERROR(IF($H19="No DD",0,IF(OR(ISBLANK(J19),J19="N/A"),0,INDEX(INDIRECT(AV20),MATCH(J19,INDIRECT(AV19),0)))),0)</f>
        <v>0</v>
      </c>
      <c r="K20" s="210">
        <f t="shared" ref="K20:AC20" ca="1" si="16">IFERROR(IF($H19="No DD",0,IF(OR(ISBLANK(K19),K19="N/A"),0,INDEX(INDIRECT(AW20),MATCH(K19,INDIRECT(AW19),0)))),0)</f>
        <v>0</v>
      </c>
      <c r="L20" s="210">
        <f t="shared" ca="1" si="16"/>
        <v>0</v>
      </c>
      <c r="M20" s="210">
        <f t="shared" ca="1" si="16"/>
        <v>0</v>
      </c>
      <c r="N20" s="210">
        <f t="shared" ca="1" si="16"/>
        <v>0</v>
      </c>
      <c r="O20" s="210">
        <f t="shared" ca="1" si="16"/>
        <v>0</v>
      </c>
      <c r="P20" s="210">
        <f t="shared" ca="1" si="16"/>
        <v>0</v>
      </c>
      <c r="Q20" s="210">
        <f t="shared" ca="1" si="16"/>
        <v>0</v>
      </c>
      <c r="R20" s="210">
        <f t="shared" ca="1" si="16"/>
        <v>0</v>
      </c>
      <c r="S20" s="210">
        <f t="shared" ca="1" si="16"/>
        <v>0</v>
      </c>
      <c r="T20" s="210">
        <f t="shared" ca="1" si="16"/>
        <v>0</v>
      </c>
      <c r="U20" s="210">
        <f t="shared" ca="1" si="16"/>
        <v>0</v>
      </c>
      <c r="V20" s="210">
        <f t="shared" ca="1" si="16"/>
        <v>0</v>
      </c>
      <c r="W20" s="210">
        <f t="shared" ca="1" si="16"/>
        <v>0</v>
      </c>
      <c r="X20" s="210">
        <f t="shared" ca="1" si="16"/>
        <v>0</v>
      </c>
      <c r="Y20" s="210">
        <f t="shared" ca="1" si="16"/>
        <v>0</v>
      </c>
      <c r="Z20" s="210">
        <f t="shared" ca="1" si="16"/>
        <v>0</v>
      </c>
      <c r="AA20" s="210">
        <f t="shared" ca="1" si="16"/>
        <v>0</v>
      </c>
      <c r="AB20" s="210">
        <f t="shared" ca="1" si="16"/>
        <v>0</v>
      </c>
      <c r="AC20" s="210">
        <f t="shared" ca="1" si="16"/>
        <v>0</v>
      </c>
      <c r="AD20" s="211" t="str">
        <f>IFERROR(IF(E20="H",INDEX(HybridBonus_Value,MATCH(AD19,HybridBonus_Code,0)),""),"")</f>
        <v/>
      </c>
      <c r="AE20" s="209" t="str">
        <f>IFERROR(IF(J19&lt;&gt;"",SUM(I20:AD20),""),"")</f>
        <v/>
      </c>
      <c r="AF20" s="75"/>
      <c r="AG20" s="75"/>
      <c r="AH20" s="110"/>
      <c r="AI20" s="110"/>
      <c r="AJ20" s="110"/>
      <c r="AK20" s="110"/>
      <c r="AL20" s="110"/>
      <c r="AM20" s="110"/>
      <c r="AN20" s="110"/>
      <c r="AO20" s="110"/>
      <c r="AP20" s="110"/>
      <c r="AQ20" s="110"/>
      <c r="AR20" s="110"/>
      <c r="AS20" s="110"/>
      <c r="AT20" s="110"/>
      <c r="AU20" s="110"/>
      <c r="AV20" s="111" t="str">
        <f>IF($E20="H","HybridDD_Value",IF($E20=3,"TreDD_Value",IF($E20="PA","AcroPair_Value",IF(LEFT($F19,4)="Acro",CONCATENATE(AV$16,$E20,"_Value"),""))))</f>
        <v/>
      </c>
      <c r="AW20" s="111" t="str">
        <f t="shared" ref="AW20:BD20" si="17">IF($E20="H","HybridDD_Value",IF($E20=3,"",IF(LEFT($F19,4)="Acro",CONCATENATE(AW$16,$E20,"_Value"),IF($E20="PA","",""))))</f>
        <v/>
      </c>
      <c r="AX20" s="111" t="str">
        <f t="shared" si="17"/>
        <v/>
      </c>
      <c r="AY20" s="111" t="str">
        <f t="shared" si="17"/>
        <v/>
      </c>
      <c r="AZ20" s="111" t="str">
        <f t="shared" si="17"/>
        <v/>
      </c>
      <c r="BA20" s="111" t="str">
        <f t="shared" si="17"/>
        <v/>
      </c>
      <c r="BB20" s="111" t="str">
        <f t="shared" si="17"/>
        <v/>
      </c>
      <c r="BC20" s="111" t="str">
        <f t="shared" si="17"/>
        <v/>
      </c>
      <c r="BD20" s="111" t="str">
        <f t="shared" si="17"/>
        <v/>
      </c>
      <c r="BE20" s="110" t="str">
        <f>IF($E20="H","HybridDD_Value","Data!$BI$1:$BI$5")</f>
        <v>Data!$BI$1:$BI$5</v>
      </c>
      <c r="BF20" s="110" t="str">
        <f t="shared" si="7"/>
        <v>Data!$BI$1:$BI$5</v>
      </c>
      <c r="BG20" s="110" t="str">
        <f t="shared" si="7"/>
        <v>Data!$BI$1:$BI$5</v>
      </c>
      <c r="BH20" s="110" t="str">
        <f t="shared" si="7"/>
        <v>Data!$BI$1:$BI$5</v>
      </c>
      <c r="BI20" s="110" t="str">
        <f t="shared" si="7"/>
        <v>Data!$BI$1:$BI$5</v>
      </c>
      <c r="BJ20" s="110" t="str">
        <f t="shared" si="7"/>
        <v>Data!$BI$1:$BI$5</v>
      </c>
      <c r="BK20" s="110" t="str">
        <f t="shared" si="7"/>
        <v>Data!$BI$1:$BI$5</v>
      </c>
      <c r="BL20" s="110" t="str">
        <f t="shared" si="7"/>
        <v>Data!$BI$1:$BI$5</v>
      </c>
      <c r="BM20" s="110" t="str">
        <f t="shared" si="7"/>
        <v>Data!$BI$1:$BI$5</v>
      </c>
      <c r="BN20" s="110" t="str">
        <f t="shared" si="7"/>
        <v>Data!$BI$1:$BI$5</v>
      </c>
      <c r="BO20" s="110" t="str">
        <f t="shared" si="7"/>
        <v>Data!$BI$1:$BI$5</v>
      </c>
      <c r="BQ20" s="121"/>
      <c r="BR20" s="122" t="str">
        <f>IFERROR(IF(AND($BS$6="T",$BS$8="T",LEFT(F19,4)="Acro",AE20&gt;3),"X",IF($N$7="X",IF(AND(E20="C",AE20&gt;$CA$6),"X",IF(AND(E20="A",AE20&gt;$CA$4),"X",IF(AND(E20="B",AE20&gt;$CA$5),"X",IF(AND(E20="P",AE20&gt;$CA$7),"X","")))),"")),"")</f>
        <v/>
      </c>
      <c r="BS20" s="114"/>
      <c r="BU20" s="108"/>
      <c r="CA20" s="111"/>
      <c r="CB20" s="111"/>
      <c r="CC20" s="111"/>
      <c r="CG20" s="108" t="str">
        <f t="shared" si="9"/>
        <v/>
      </c>
      <c r="CH20" s="108" t="str">
        <f t="shared" si="10"/>
        <v/>
      </c>
      <c r="CI20" s="108" t="str">
        <f t="shared" si="11"/>
        <v/>
      </c>
      <c r="CJ20" s="108" t="str">
        <f t="shared" si="12"/>
        <v/>
      </c>
      <c r="CR20" s="108">
        <v>2</v>
      </c>
      <c r="DI20" s="108" t="str" cm="1">
        <f t="array" ref="DI20">IFERROR(INDEX(DK20:ED20,MATCH(TRUE,INDEX((DK20:ED20&lt;&gt;""),),0)),"")</f>
        <v/>
      </c>
      <c r="DK20" s="108" t="str">
        <f t="shared" ref="DK20:ED20" si="18">IF(F19="Hybrid - Thrust + 2 connections",IF(COUNTIF($DK19:$ED19,DK19)&gt;1,DK19,""),IF(COUNTIF($DK19:$ED19,DK19)&gt;5,DK19,""))</f>
        <v/>
      </c>
      <c r="DL20" s="108" t="str">
        <f t="shared" si="18"/>
        <v/>
      </c>
      <c r="DM20" s="108" t="str">
        <f t="shared" si="18"/>
        <v/>
      </c>
      <c r="DN20" s="108" t="str">
        <f t="shared" si="18"/>
        <v/>
      </c>
      <c r="DO20" s="108" t="str">
        <f t="shared" si="18"/>
        <v/>
      </c>
      <c r="DP20" s="108" t="str">
        <f t="shared" si="18"/>
        <v/>
      </c>
      <c r="DQ20" s="108" t="str">
        <f t="shared" si="18"/>
        <v/>
      </c>
      <c r="DR20" s="108" t="str">
        <f t="shared" si="18"/>
        <v/>
      </c>
      <c r="DS20" s="108" t="str">
        <f t="shared" si="18"/>
        <v/>
      </c>
      <c r="DT20" s="108" t="str">
        <f t="shared" si="18"/>
        <v/>
      </c>
      <c r="DU20" s="108" t="str">
        <f t="shared" si="18"/>
        <v/>
      </c>
      <c r="DV20" s="108" t="str">
        <f t="shared" si="18"/>
        <v/>
      </c>
      <c r="DW20" s="108" t="str">
        <f t="shared" si="18"/>
        <v/>
      </c>
      <c r="DX20" s="108" t="str">
        <f t="shared" si="18"/>
        <v/>
      </c>
      <c r="DY20" s="108" t="str">
        <f t="shared" si="18"/>
        <v/>
      </c>
      <c r="DZ20" s="108" t="str">
        <f t="shared" si="18"/>
        <v/>
      </c>
      <c r="EA20" s="108" t="str">
        <f t="shared" si="18"/>
        <v/>
      </c>
      <c r="EB20" s="108" t="str">
        <f t="shared" si="18"/>
        <v/>
      </c>
      <c r="EC20" s="108" t="str">
        <f t="shared" si="18"/>
        <v/>
      </c>
      <c r="ED20" s="108" t="str">
        <f t="shared" si="18"/>
        <v/>
      </c>
      <c r="EE20" s="108"/>
      <c r="EF20" s="108" t="str" cm="1">
        <f t="array" ref="EF20">IFERROR(INDEX(EG20:EZ20,MATCH(TRUE,INDEX((EG20:EZ20&lt;&gt;""),),0)),"")</f>
        <v/>
      </c>
      <c r="EG20" s="108" t="str">
        <f t="shared" ref="EG20:EZ20" si="19">IF(COUNTIF($EG19:$EZ19,EG19)&gt;3,EG19,"")</f>
        <v/>
      </c>
      <c r="EH20" s="108" t="str">
        <f t="shared" si="19"/>
        <v/>
      </c>
      <c r="EI20" s="108" t="str">
        <f t="shared" si="19"/>
        <v/>
      </c>
      <c r="EJ20" s="108" t="str">
        <f t="shared" si="19"/>
        <v/>
      </c>
      <c r="EK20" s="108" t="str">
        <f t="shared" si="19"/>
        <v/>
      </c>
      <c r="EL20" s="108" t="str">
        <f t="shared" si="19"/>
        <v/>
      </c>
      <c r="EM20" s="108" t="str">
        <f t="shared" si="19"/>
        <v/>
      </c>
      <c r="EN20" s="108" t="str">
        <f t="shared" si="19"/>
        <v/>
      </c>
      <c r="EO20" s="108" t="str">
        <f t="shared" si="19"/>
        <v/>
      </c>
      <c r="EP20" s="108" t="str">
        <f t="shared" si="19"/>
        <v/>
      </c>
      <c r="EQ20" s="108" t="str">
        <f t="shared" si="19"/>
        <v/>
      </c>
      <c r="ER20" s="108" t="str">
        <f t="shared" si="19"/>
        <v/>
      </c>
      <c r="ES20" s="108" t="str">
        <f t="shared" si="19"/>
        <v/>
      </c>
      <c r="ET20" s="108" t="str">
        <f t="shared" si="19"/>
        <v/>
      </c>
      <c r="EU20" s="108" t="str">
        <f t="shared" si="19"/>
        <v/>
      </c>
      <c r="EV20" s="108" t="str">
        <f t="shared" si="19"/>
        <v/>
      </c>
      <c r="EW20" s="108" t="str">
        <f t="shared" si="19"/>
        <v/>
      </c>
      <c r="EX20" s="108" t="str">
        <f t="shared" si="19"/>
        <v/>
      </c>
      <c r="EY20" s="108" t="str">
        <f t="shared" si="19"/>
        <v/>
      </c>
      <c r="EZ20" s="108" t="str">
        <f t="shared" si="19"/>
        <v/>
      </c>
      <c r="FA20" s="108"/>
      <c r="FB20" s="108"/>
      <c r="FC20" s="108"/>
      <c r="FD20" s="108"/>
      <c r="FE20" s="108"/>
      <c r="FF20" s="108"/>
      <c r="FG20" s="108"/>
      <c r="FH20" s="108"/>
      <c r="FI20" s="108" t="str">
        <f>IF($F19="Hybrid - Thrust + 2 connections",COUNTBLANK(J19:L19),"")</f>
        <v/>
      </c>
      <c r="FJ20" s="108"/>
      <c r="FN20" s="111"/>
    </row>
    <row r="21" spans="1:170" ht="12.75" x14ac:dyDescent="0.25">
      <c r="A21" s="40" t="str">
        <f>IF(AND(E19="",A19&lt;&gt;""),IF(BS19=$BS$18,"",IF(C19&lt;&gt;"",IF(D19=59,MINUTE(BS19)+1,MINUTE(BS19)),"")),"")</f>
        <v/>
      </c>
      <c r="B21" s="41" t="str">
        <f>IF(AND(E19="",B19&lt;&gt;""),IF(BS19=$BS$18,"",IF(C19&lt;&gt;"",IF(D19=59,0,SECOND(BS19)+1),"")),"")</f>
        <v/>
      </c>
      <c r="C21" s="51"/>
      <c r="D21" s="51"/>
      <c r="E21" s="9"/>
      <c r="F21" s="52"/>
      <c r="G21" s="43" t="str">
        <f>IF(F21&lt;&gt;"",IF(OR(F21="Transition",F21="Transition - Surface Connection"),0,MAX($G$19:G20)+1),"")</f>
        <v/>
      </c>
      <c r="H21" s="57" t="str">
        <f t="shared" ref="H21" si="20">IFERROR(IF(E22="3","",IF(OR(F21="Hybrid - min 4 swimmers (no DD)",LEFT(F21,5)="Trans"),"No DD",CONCATENATE("BM = ",I22))),"")</f>
        <v/>
      </c>
      <c r="I21" s="58"/>
      <c r="J21" s="130"/>
      <c r="K21" s="137"/>
      <c r="L21" s="137"/>
      <c r="M21" s="137"/>
      <c r="N21" s="137"/>
      <c r="O21" s="137"/>
      <c r="P21" s="137"/>
      <c r="Q21" s="137"/>
      <c r="R21" s="137"/>
      <c r="S21" s="137"/>
      <c r="T21" s="137"/>
      <c r="U21" s="137"/>
      <c r="V21" s="137"/>
      <c r="W21" s="137"/>
      <c r="X21" s="137"/>
      <c r="Y21" s="137"/>
      <c r="Z21" s="137"/>
      <c r="AA21" s="137"/>
      <c r="AB21" s="137"/>
      <c r="AC21" s="137"/>
      <c r="AD21" s="191"/>
      <c r="AE21" s="44"/>
      <c r="AF21" s="75"/>
      <c r="AG21" s="75"/>
      <c r="AH21" s="110"/>
      <c r="AI21" s="110"/>
      <c r="AJ21" s="110"/>
      <c r="AK21" s="110"/>
      <c r="AL21" s="110"/>
      <c r="AM21" s="110"/>
      <c r="AN21" s="110"/>
      <c r="AO21" s="110"/>
      <c r="AP21" s="110"/>
      <c r="AQ21" s="110"/>
      <c r="AR21" s="110"/>
      <c r="AS21" s="110"/>
      <c r="AT21" s="110" t="str">
        <f>IFERROR(IF(F21&lt;&gt;"",INDEX(Parts_Active,MATCH(F21,Parts_Active,0)),""),"No")</f>
        <v/>
      </c>
      <c r="AU21" s="110"/>
      <c r="AV21" s="110" t="str">
        <f t="shared" ref="AV21" si="21">IF($E22="H",IF($F21="Hybrid - Thrust + 2 connections","Hybrid_Mix_Req","HybridDD_Code"),IF($E22=3,"TreDD_Code",IF($E22="PA","AcroPair_Code",IF(LEFT($F21,4)="Acro",CONCATENATE(AV$16,$E22,"_Code"),"Data!$BI$1:$BI$5"))))</f>
        <v>Data!$BI$1:$BI$5</v>
      </c>
      <c r="AW21" s="110" t="str">
        <f t="shared" ref="AW21" si="22">IF($E22="H",IF($F21="Hybrid - Thrust + 2 connections","Hybrid_Mix_Req","HybridDD_Code"),IF($E22=3,"TreDD_Code",IF($E22="PA","AcroPair_Code",IF(LEFT($F21,4)="Acro",CONCATENATE(AW$16,$E22,"_Code"),"Data!$BI$1:$BI$5"))))</f>
        <v>Data!$BI$1:$BI$5</v>
      </c>
      <c r="AX21" s="110" t="str">
        <f t="shared" ref="AX21" si="23">IF($E22="H",IF($F21="Hybrid - Thrust + 2 connections","Hybrid_Mix_Req","HybridDD_Code"),IF($E22=3,"TreDD_Code",IF($E22="PA","AcroPair_Code",IF(LEFT($F21,4)="Acro",CONCATENATE(AX$16,$E22,"_Code"),"Data!$BI$1:$BI$5"))))</f>
        <v>Data!$BI$1:$BI$5</v>
      </c>
      <c r="AY21" s="110" t="str">
        <f t="shared" ref="AY21" si="24">IF($E22="H",IF($F21="Hybrid - Thrust + 2 connections","Data!$BI$1:$BI$5","HybridDD_Code"),IF($E22=3,"Data!$BI$1:$BI$5",IF(LEFT($F21,4)="Acro",CONCATENATE(AY$16,$E22,"_Code"),IF($E22="PA","","Data!$BI$1:$BI$5"))))</f>
        <v>Data!$BI$1:$BI$5</v>
      </c>
      <c r="AZ21" s="110" t="str">
        <f t="shared" ref="AZ21" si="25">IF($E22="H",IF($F21="Hybrid - Thrust + 2 connections","Data!$BI$1:$BI$5","HybridDD_Code"),IF($E22=3,"Data!$BI$1:$BI$5",IF(LEFT($F21,4)="Acro",CONCATENATE(AZ$16,$E22,"_Code"),IF($E22="PA","","Data!$BI$1:$BI$5"))))</f>
        <v>Data!$BI$1:$BI$5</v>
      </c>
      <c r="BA21" s="110" t="str">
        <f t="shared" ref="BA21" si="26">IF($E22="H",IF($F21="Hybrid - Thrust + 2 connections","Data!$BI$1:$BI$5","HybridDD_Code"),IF($E22=3,"Data!$BI$1:$BI$5",IF(LEFT($F21,4)="Acro",CONCATENATE(BA$16,$E22,"_Code"),IF($E22="PA","","Data!$BI$1:$BI$5"))))</f>
        <v>Data!$BI$1:$BI$5</v>
      </c>
      <c r="BB21" s="110" t="str">
        <f t="shared" ref="BB21" si="27">IF($E22="H",IF($F21="Hybrid - Thrust + 2 connections","Data!$BI$1:$BI$5","HybridDD_Code"),IF($E22=3,"Data!$BI$1:$BI$5",IF(LEFT($F21,4)="Acro",CONCATENATE(BB$16,$E22,"_Code"),IF($E22="PA","","Data!$BI$1:$BI$5"))))</f>
        <v>Data!$BI$1:$BI$5</v>
      </c>
      <c r="BC21" s="110" t="str">
        <f t="shared" ref="BC21" si="28">IF($E22="H",IF($F21="Hybrid - Thrust + 2 connections","Data!$BI$1:$BI$5","HybridDD_Code"),IF($E22=3,"Data!$BI$1:$BI$5",IF(LEFT($F21,4)="Acro",CONCATENATE(BC$16,$E22,"_Code"),IF($E22="PA","","Data!$BI$1:$BI$5"))))</f>
        <v>Data!$BI$1:$BI$5</v>
      </c>
      <c r="BD21" s="110" t="str">
        <f t="shared" ref="BD21" si="29">IF($E22="H",IF($F21="Hybrid - Thrust + 2 connections","Data!$BI$1:$BI$5","HybridDD_Code"),IF($E22=3,"Data!$BI$1:$BI$5",IF(LEFT($F21,4)="Acro",CONCATENATE(BD$16,$E22,"_Code"),IF($E22="PA","","Data!$BI$1:$BI$5"))))</f>
        <v>Data!$BI$1:$BI$5</v>
      </c>
      <c r="BE21" s="110" t="str">
        <f t="shared" ref="BE21" si="30">IF($E22="H",IF($F21="Hybrid - Thrust + 2 connections","Data!$BI$1:$BI$5","HybridDD_Code"),"Data!$BI$1:$BI$5")</f>
        <v>Data!$BI$1:$BI$5</v>
      </c>
      <c r="BF21" s="110" t="str">
        <f t="shared" si="7"/>
        <v>Data!$BI$1:$BI$5</v>
      </c>
      <c r="BG21" s="110" t="str">
        <f t="shared" si="7"/>
        <v>Data!$BI$1:$BI$5</v>
      </c>
      <c r="BH21" s="110" t="str">
        <f t="shared" si="7"/>
        <v>Data!$BI$1:$BI$5</v>
      </c>
      <c r="BI21" s="110" t="str">
        <f t="shared" si="7"/>
        <v>Data!$BI$1:$BI$5</v>
      </c>
      <c r="BJ21" s="110" t="str">
        <f t="shared" si="7"/>
        <v>Data!$BI$1:$BI$5</v>
      </c>
      <c r="BK21" s="110" t="str">
        <f t="shared" si="7"/>
        <v>Data!$BI$1:$BI$5</v>
      </c>
      <c r="BL21" s="110" t="str">
        <f t="shared" si="7"/>
        <v>Data!$BI$1:$BI$5</v>
      </c>
      <c r="BM21" s="110" t="str">
        <f t="shared" si="7"/>
        <v>Data!$BI$1:$BI$5</v>
      </c>
      <c r="BN21" s="110" t="str">
        <f t="shared" si="7"/>
        <v>Data!$BI$1:$BI$5</v>
      </c>
      <c r="BO21" s="110" t="str">
        <f t="shared" si="7"/>
        <v>Data!$BI$1:$BI$5</v>
      </c>
      <c r="BP21" s="110"/>
      <c r="BQ21" s="110"/>
      <c r="BR21" s="113" t="str">
        <f>IFERROR(TIME(0,A21,B21),"")</f>
        <v/>
      </c>
      <c r="BS21" s="114">
        <f>IFERROR(TIME(0,C21,D21),"")</f>
        <v>0</v>
      </c>
      <c r="BT21" s="114" t="str">
        <f t="shared" ref="BT21" si="31">IF(BS21&gt;$D$12,"X","")</f>
        <v/>
      </c>
      <c r="BU21" s="108" t="str">
        <f>IF(AND(F21="Hybrid - Thrust + 2 connections",OR(LEFT(J21,1)="T",LEFT(K21,1)="T",LEFT(L21,1)="T",LEFT(NG21,1)="T",LEFT(M21,1)="T",LEFT(N21,1)="T",LEFT(O21,1)="T",LEFT(P21,1)="T",LEFT(Q21,1)="T",LEFT(R21,1)="T",LEFT(S21,1)="T",LEFT(T21,1)="T",LEFT(U21,1)="T",LEFT(V21,1)="T",LEFT(W21,1)="T",LEFT(X21,1)="T",LEFT(AA21,1)="T",LEFT(AB21,1)="T",LEFT(AC21,1)="T")),IF(OR(LEN(J21)=2,LEN(K21)=2,LEN(L21)=2,LEN(M21)=2,LEN(N21)=2,LEN(O21)=2,LEN(P21)=2,LEN(Q21)=2,LEN(R21)=2,LEN(S21)=2,LEN(T21)=2,LEN(U21)=2,LEN(V21)=2,LEN(W21)=2,LEN(X21)=2,LEN(Y21)=2,LEN(Z21)=2,LEN(AA21)=2,LEN(AB21)=2,LEN(AC21)=2),"X",""),"")</f>
        <v/>
      </c>
      <c r="BV21" s="108"/>
      <c r="BW21" s="108" t="str">
        <f>IF(LEFT(F21,4)="Acro",IF(AND(N21&lt;&gt;"",M21=RIGHT(N21,2)),"X","OK"),"")</f>
        <v/>
      </c>
      <c r="BX21" s="110" t="str">
        <f t="shared" ref="BX21:CE21" si="32">IFERROR(IF(AND(LEFT($F21,4)="Acro",INDEX(Requ_App,MATCH(AV21,Requ_Code,0))="No"),"X",""),"")</f>
        <v/>
      </c>
      <c r="BY21" s="110" t="str">
        <f t="shared" si="32"/>
        <v/>
      </c>
      <c r="BZ21" s="110" t="str">
        <f t="shared" si="32"/>
        <v/>
      </c>
      <c r="CA21" s="110" t="str">
        <f t="shared" si="32"/>
        <v/>
      </c>
      <c r="CB21" s="110" t="str">
        <f t="shared" si="32"/>
        <v/>
      </c>
      <c r="CC21" s="110" t="str">
        <f t="shared" si="32"/>
        <v/>
      </c>
      <c r="CD21" s="110" t="str">
        <f t="shared" si="32"/>
        <v/>
      </c>
      <c r="CE21" s="110" t="str">
        <f t="shared" si="32"/>
        <v/>
      </c>
      <c r="CF21" s="110" t="str">
        <f>IFERROR(IF(AND(LEFT($F21,4)="Acro",INDEX(Requ_App,MATCH(BC21,Requ_Code,0))="No"),"X",""),"")</f>
        <v/>
      </c>
      <c r="CG21" s="108" t="str">
        <f t="shared" si="9"/>
        <v/>
      </c>
      <c r="CH21" s="108" t="str">
        <f t="shared" si="10"/>
        <v/>
      </c>
      <c r="CI21" s="108" t="str">
        <f t="shared" si="11"/>
        <v/>
      </c>
      <c r="CJ21" s="108" t="str">
        <f t="shared" si="12"/>
        <v/>
      </c>
      <c r="CN21" s="108">
        <f t="shared" ref="CN21" si="33">IF(AND(E22="A",OR(Q21="Grip",Q21="Conn",Q21="Catch")),"A1",IF(AND(E22="A",OR(Q21="Hula",Q21="RetSq",Q21="RetPa")),"A2",IF(AND(E22="B",OR(Q21="Twirl",Q21="RotF")),"B1",IF(AND(E22="B",OR(Q21="Moon",Q21="Mov")),"B2",IF(AND(E22="B",Q21="Hold"),"B3",IF(AND(E22="P",OR(Q21="Porp",Q21="Spitch")),"P1",IF(AND(E22="P",OR(Q21="Dive",Q21="Ps1",Q21="Ps1t0.5",Q21="Ps1op",Q21="Ps1t0,5o",Q21="Ps1t1",Q21="CH+")),"P2",IF(AND(E22="P",OR(Q21="Spider",Q21="Climb")),"P3",IF(AND(E22="P",OR(Q21="Fall",Q21="FTurn")),"P4",IF(AND(E22="C",OR(Q21="Jump",Q21="Jump&gt;",Q21="On1Foot",Q21="1F&gt;1F")),"C1",IF(AND(E22="C",OR(Q21="Run",Q21="BRun")),"C2",1)))))))))))</f>
        <v>1</v>
      </c>
      <c r="CO21" s="108">
        <f t="shared" ref="CO21" si="34">IF(AND(E22="A",OR(R21="Grip",R21="Conn",R21="Catch")),"A1",IF(AND(E22="A",OR(R21="Hula",R21="RetSq",R21="RetPa")),"A2",IF(AND(E22="B",OR(R21="Twirl",R21="RotF")),"B1",IF(AND(E22="B",OR(R21="Moon",R21="Mov")),"B3",IF(AND(E22="B",R21="Hold"),"B2",IF(AND(E22="P",OR(R21="Porp",R21="Spitch")),"P1",IF(AND(E22="P",OR(R21="Dive",R21="Ps1",R21="Ps1t0.5",R21="Ps1op",R21="Ps1t0,5o",R21="Ps1t1",R21="CH+")),"P2",IF(AND(E22="P",OR(R21="Spider",R21="Climb")),"P3",IF(AND(E22="P",OR(R21="Fall",R21="FTurn")),"P4",IF(AND(E22="C",OR(R21="Jump",R21="Jump&gt;",R21="On1Foot",R21="1F&gt;1F")),"C1",IF(AND(E22="C",OR(R21="Run",R21="BRun")),"C2",2)))))))))))</f>
        <v>2</v>
      </c>
      <c r="CP21" s="108" t="str">
        <f t="shared" ref="CP21" si="35">IF(AND(LEFT(F21,4)="Acro",Q21&lt;&gt;"",OR(Q21=R21,CN21=CO21)),IF(R21="C-Roll","","X"),IF(OR(AND(E22="A",Q21="Catch",R21&lt;&gt;"Dbl"),AND(E22="A",R21="Catch",Q21&lt;&gt;"Dbl")),"X",""))</f>
        <v/>
      </c>
      <c r="CQ21" s="108" t="str">
        <f t="shared" ref="CQ21" si="36">IF(E22="PA",J21,"")</f>
        <v/>
      </c>
      <c r="CR21" s="108">
        <v>3</v>
      </c>
      <c r="CT21" s="108" t="str">
        <f t="shared" ref="CT21" si="37">IF(AND($E22="A",COUNTIF($DC$19:$DD$68,DC21)&gt;1),DC21,"")</f>
        <v/>
      </c>
      <c r="CU21" s="108" t="str">
        <f t="shared" ref="CU21" si="38">IF(AND($E22="A",COUNTIF($DC$19:$DD$68,DD21)&gt;1),DD21,"")</f>
        <v/>
      </c>
      <c r="CV21" s="108" t="str">
        <f t="shared" ref="CV21" ca="1" si="39">IF(AND($E22="B",COUNTIF($J$19:$J$68,J21)&gt;1),J21,"")</f>
        <v/>
      </c>
      <c r="CW21" s="108" t="str">
        <f t="shared" ref="CW21" ca="1" si="40">IF(AND($E22="B",COUNTIF($K$19:$K$68,K21)&gt;1),K21,"")</f>
        <v/>
      </c>
      <c r="CX21" s="108" t="str">
        <f t="shared" ref="CX21" ca="1" si="41">IF(AND($E22="C",COUNTIF($J$19:$J$68,J21)&gt;1),J21,"")</f>
        <v/>
      </c>
      <c r="CY21" s="108" t="str">
        <f t="shared" ref="CY21" ca="1" si="42">IF(AND($E22="P",COUNTIF($J$19:$J$68,J21)&gt;1),J21,"")</f>
        <v/>
      </c>
      <c r="CZ21" s="108" t="str">
        <f t="shared" ref="CZ21" ca="1" si="43">IF(AND($E22="P",COUNTIF($K$19:$K$68,K21)&gt;1),K21,"")</f>
        <v/>
      </c>
      <c r="DA21" s="108" t="str">
        <f t="shared" ref="DA21" si="44">IF(AND($E22="P",COUNTIF($DC$19:$DD$68,DC21)&gt;1),DC21,"")</f>
        <v/>
      </c>
      <c r="DB21" s="108" t="str">
        <f t="shared" ref="DB21" si="45">IF(AND($E22="P",COUNTIF($DC$19:$DD$68,DD21)&gt;1),DD21,"")</f>
        <v/>
      </c>
      <c r="DC21" s="108" t="str">
        <f t="shared" ref="DC21" si="46">IFERROR(IF(OR(E22="A",E22="P"),M21,""),"")</f>
        <v/>
      </c>
      <c r="DD21" s="108" t="str">
        <f t="shared" ref="DD21" si="47">IFERROR(IF(OR(E22="A",E22="P"),RIGHT(N21,2),""),"")</f>
        <v/>
      </c>
      <c r="DF21" s="108" t="str">
        <f t="shared" ref="DF21" si="48">IF(AND($F$8="Open Team Acrobatic",LEFT(F21,4)="Acro"),E22,"")</f>
        <v/>
      </c>
      <c r="DG21" s="108" t="str">
        <f t="shared" ref="DG21" si="49">IFERROR(IF(HLOOKUP(DF21,$DD$12:$DG$13,2,FALSE)&gt;2,"X",""),"")</f>
        <v/>
      </c>
      <c r="DI21" s="108" t="str">
        <f t="shared" ref="DI21" si="50">IF(OR(AND(F21="Hybrid - Thrust + 2 connections",DI22="T"),AND(F21="Hybrid - Free",DI22&lt;&gt;"")),"X","")</f>
        <v/>
      </c>
      <c r="DK21" s="108">
        <f t="shared" ref="DK21" si="51">IFERROR(IF(AND($E22="H",J21&lt;&gt;""),IF(OR(LEFT(J21,1)="T",LEFT(J21,1)="S",LEFT(J21,1)="A",LEFT(J21,1)="F",LEFT(J21,1)="C"),LEFT(J21,1),"R"),DK$18),"")</f>
        <v>1</v>
      </c>
      <c r="DL21" s="108">
        <f t="shared" ref="DL21" si="52">IFERROR(IF(AND($E22="H",K21&lt;&gt;""),IF(OR(LEFT(K21,1)="T",LEFT(K21,1)="S",LEFT(K21,1)="A",LEFT(K21,1)="F",LEFT(K21,1)="C"),LEFT(K21,1),"R"),DL$18),"")</f>
        <v>2</v>
      </c>
      <c r="DM21" s="108">
        <f t="shared" ref="DM21" si="53">IFERROR(IF(AND($E22="H",L21&lt;&gt;""),IF(OR(LEFT(L21,1)="T",LEFT(L21,1)="S",LEFT(L21,1)="A",LEFT(L21,1)="F",LEFT(L21,1)="C"),LEFT(L21,1),"R"),DM$18),"")</f>
        <v>3</v>
      </c>
      <c r="DN21" s="108">
        <f t="shared" ref="DN21" si="54">IFERROR(IF(AND($E22="H",M21&lt;&gt;""),IF(OR(LEFT(M21,1)="T",LEFT(M21,1)="S",LEFT(M21,1)="A",LEFT(M21,1)="F",LEFT(M21,1)="C"),LEFT(M21,1),"R"),DN$18),"")</f>
        <v>4</v>
      </c>
      <c r="DO21" s="108">
        <f t="shared" ref="DO21" si="55">IFERROR(IF(AND($E22="H",N21&lt;&gt;""),IF(OR(LEFT(N21,1)="T",LEFT(N21,1)="S",LEFT(N21,1)="A",LEFT(N21,1)="F",LEFT(N21,1)="C"),LEFT(N21,1),"R"),DO$18),"")</f>
        <v>5</v>
      </c>
      <c r="DP21" s="108">
        <f t="shared" ref="DP21" si="56">IFERROR(IF(AND($E22="H",O21&lt;&gt;""),IF(OR(LEFT(O21,1)="T",LEFT(O21,1)="S",LEFT(O21,1)="A",LEFT(O21,1)="F",LEFT(O21,1)="C"),LEFT(O21,1),"R"),DP$18),"")</f>
        <v>6</v>
      </c>
      <c r="DQ21" s="108">
        <f t="shared" ref="DQ21" si="57">IFERROR(IF(AND($E22="H",P21&lt;&gt;""),IF(OR(LEFT(P21,1)="T",LEFT(P21,1)="S",LEFT(P21,1)="A",LEFT(P21,1)="F",LEFT(P21,1)="C"),LEFT(P21,1),"R"),DQ$18),"")</f>
        <v>7</v>
      </c>
      <c r="DR21" s="108">
        <f t="shared" ref="DR21" si="58">IFERROR(IF(AND($E22="H",Q21&lt;&gt;""),IF(OR(LEFT(Q21,1)="T",LEFT(Q21,1)="S",LEFT(Q21,1)="A",LEFT(Q21,1)="F",LEFT(Q21,1)="C"),LEFT(Q21,1),"R"),DR$18),"")</f>
        <v>8</v>
      </c>
      <c r="DS21" s="108">
        <f t="shared" ref="DS21" si="59">IFERROR(IF(AND($E22="H",R21&lt;&gt;""),IF(OR(LEFT(R21,1)="T",LEFT(R21,1)="S",LEFT(R21,1)="A",LEFT(R21,1)="F",LEFT(R21,1)="C"),LEFT(R21,1),"R"),DS$18),"")</f>
        <v>9</v>
      </c>
      <c r="DT21" s="108">
        <f t="shared" ref="DT21" si="60">IFERROR(IF(AND($E22="H",S21&lt;&gt;""),IF(OR(LEFT(S21,1)="T",LEFT(S21,1)="S",LEFT(S21,1)="A",LEFT(S21,1)="F",LEFT(S21,1)="C"),LEFT(S21,1),"R"),DT$18),"")</f>
        <v>10</v>
      </c>
      <c r="DU21" s="108">
        <f t="shared" ref="DU21" si="61">IFERROR(IF(AND($E22="H",T21&lt;&gt;""),IF(OR(LEFT(T21,1)="T",LEFT(T21,1)="S",LEFT(T21,1)="A",LEFT(T21,1)="F",LEFT(T21,1)="C"),LEFT(T21,1),"R"),DU$18),"")</f>
        <v>11</v>
      </c>
      <c r="DV21" s="108">
        <f t="shared" ref="DV21" si="62">IFERROR(IF(AND($E22="H",U21&lt;&gt;""),IF(OR(LEFT(U21,1)="T",LEFT(U21,1)="S",LEFT(U21,1)="A",LEFT(U21,1)="F",LEFT(U21,1)="C"),LEFT(U21,1),"R"),DV$18),"")</f>
        <v>12</v>
      </c>
      <c r="DW21" s="108">
        <f t="shared" ref="DW21" si="63">IFERROR(IF(AND($E22="H",V21&lt;&gt;""),IF(OR(LEFT(V21,1)="T",LEFT(V21,1)="S",LEFT(V21,1)="A",LEFT(V21,1)="F",LEFT(V21,1)="C"),LEFT(V21,1),"R"),DW$18),"")</f>
        <v>13</v>
      </c>
      <c r="DX21" s="108">
        <f t="shared" ref="DX21" si="64">IFERROR(IF(AND($E22="H",W21&lt;&gt;""),IF(OR(LEFT(W21,1)="T",LEFT(W21,1)="S",LEFT(W21,1)="A",LEFT(W21,1)="F",LEFT(W21,1)="C"),LEFT(W21,1),"R"),DX$18),"")</f>
        <v>14</v>
      </c>
      <c r="DY21" s="108">
        <f t="shared" ref="DY21" si="65">IFERROR(IF(AND($E22="H",X21&lt;&gt;""),IF(OR(LEFT(X21,1)="T",LEFT(X21,1)="S",LEFT(X21,1)="A",LEFT(X21,1)="F",LEFT(X21,1)="C"),LEFT(X21,1),"R"),DY$18),"")</f>
        <v>15</v>
      </c>
      <c r="DZ21" s="108">
        <f t="shared" ref="DZ21" si="66">IFERROR(IF(AND($E22="H",Y21&lt;&gt;""),IF(OR(LEFT(Y21,1)="T",LEFT(Y21,1)="S",LEFT(Y21,1)="A",LEFT(Y21,1)="F",LEFT(Y21,1)="C"),LEFT(Y21,1),"R"),DZ$18),"")</f>
        <v>16</v>
      </c>
      <c r="EA21" s="108">
        <f t="shared" ref="EA21" si="67">IFERROR(IF(AND($E22="H",Z21&lt;&gt;""),IF(OR(LEFT(Z21,1)="T",LEFT(Z21,1)="S",LEFT(Z21,1)="A",LEFT(Z21,1)="F",LEFT(Z21,1)="C"),LEFT(Z21,1),"R"),EA$18),"")</f>
        <v>17</v>
      </c>
      <c r="EB21" s="108">
        <f t="shared" ref="EB21" si="68">IFERROR(IF(AND($E22="H",AA21&lt;&gt;""),IF(OR(LEFT(AA21,1)="T",LEFT(AA21,1)="S",LEFT(AA21,1)="A",LEFT(AA21,1)="F",LEFT(AA21,1)="C"),LEFT(AA21,1),"R"),EB$18),"")</f>
        <v>18</v>
      </c>
      <c r="EC21" s="108">
        <f t="shared" ref="EC21" si="69">IFERROR(IF(AND($E22="H",AB21&lt;&gt;""),IF(OR(LEFT(AB21,1)="T",LEFT(AB21,1)="S",LEFT(AB21,1)="A",LEFT(AB21,1)="F",LEFT(AB21,1)="C"),LEFT(AB21,1),"R"),EC$18),"")</f>
        <v>19</v>
      </c>
      <c r="ED21" s="108">
        <f t="shared" ref="ED21" si="70">IFERROR(IF(AND($E22="H",AC21&lt;&gt;""),IF(OR(LEFT(AC21,1)="T",LEFT(AC21,1)="S",LEFT(AC21,1)="A",LEFT(AC21,1)="F",LEFT(AC21,1)="C"),LEFT(AC21,1),"R"),ED$18),"")</f>
        <v>20</v>
      </c>
      <c r="EE21" s="108"/>
      <c r="EF21" s="108"/>
      <c r="EG21" s="108">
        <f t="shared" ref="EG21:EZ21" si="71">IFERROR(IF(J21&lt;&gt;"",UPPER(J21),EG$18),EG$18)</f>
        <v>1</v>
      </c>
      <c r="EH21" s="108">
        <f t="shared" si="71"/>
        <v>2</v>
      </c>
      <c r="EI21" s="108">
        <f t="shared" si="71"/>
        <v>3</v>
      </c>
      <c r="EJ21" s="108">
        <f t="shared" si="71"/>
        <v>4</v>
      </c>
      <c r="EK21" s="108">
        <f t="shared" si="71"/>
        <v>5</v>
      </c>
      <c r="EL21" s="108">
        <f t="shared" si="71"/>
        <v>6</v>
      </c>
      <c r="EM21" s="108">
        <f t="shared" si="71"/>
        <v>7</v>
      </c>
      <c r="EN21" s="108">
        <f t="shared" si="71"/>
        <v>8</v>
      </c>
      <c r="EO21" s="108">
        <f t="shared" si="71"/>
        <v>9</v>
      </c>
      <c r="EP21" s="108">
        <f t="shared" si="71"/>
        <v>10</v>
      </c>
      <c r="EQ21" s="108">
        <f t="shared" si="71"/>
        <v>11</v>
      </c>
      <c r="ER21" s="108">
        <f t="shared" si="71"/>
        <v>12</v>
      </c>
      <c r="ES21" s="108">
        <f t="shared" si="71"/>
        <v>13</v>
      </c>
      <c r="ET21" s="108">
        <f t="shared" si="71"/>
        <v>14</v>
      </c>
      <c r="EU21" s="108">
        <f t="shared" si="71"/>
        <v>15</v>
      </c>
      <c r="EV21" s="108">
        <f t="shared" si="71"/>
        <v>16</v>
      </c>
      <c r="EW21" s="108">
        <f t="shared" si="71"/>
        <v>17</v>
      </c>
      <c r="EX21" s="108">
        <f t="shared" si="71"/>
        <v>18</v>
      </c>
      <c r="EY21" s="108">
        <f t="shared" si="71"/>
        <v>19</v>
      </c>
      <c r="EZ21" s="108">
        <f t="shared" si="71"/>
        <v>20</v>
      </c>
      <c r="FA21" s="108"/>
      <c r="FB21" s="108">
        <f t="shared" ref="FB21" si="72">COUNTIF($DK21:$ED21,FB$18)</f>
        <v>0</v>
      </c>
      <c r="FC21" s="108">
        <f t="shared" si="15"/>
        <v>0</v>
      </c>
      <c r="FD21" s="108">
        <f t="shared" si="15"/>
        <v>0</v>
      </c>
      <c r="FE21" s="108">
        <f t="shared" si="15"/>
        <v>0</v>
      </c>
      <c r="FF21" s="108">
        <f t="shared" si="15"/>
        <v>0</v>
      </c>
      <c r="FG21" s="108">
        <f t="shared" si="15"/>
        <v>0</v>
      </c>
      <c r="FH21" s="108"/>
      <c r="FI21" s="108" t="str">
        <f t="shared" ref="FI21" si="73">IF(AND($F21="Hybrid - Thrust + 2 connections",FI22=0,LEFT($J21,1)="C",LEFT($K21,1)="C",LEFT($L21,1)="C"),"X","")</f>
        <v/>
      </c>
      <c r="FJ21" s="108"/>
      <c r="FL21" s="120" t="e">
        <f>IF(OR(LEFT(#REF!,2)="PL",LEFT(#REF!,2)="PL",LEFT(#REF!,2)="PL",LEFT(#REF!,2)="PL",LEFT(#REF!,2)="PL"),IF($BS$17-BR21&gt;$FL$17,"X",""),"")</f>
        <v>#REF!</v>
      </c>
      <c r="FM21" s="120"/>
      <c r="FN21" s="111" t="str">
        <f>IF(E22=3,_xlfn.NUMBERVALUE(LEFT(J21,1)),"")</f>
        <v/>
      </c>
    </row>
    <row r="22" spans="1:170" ht="12.75" x14ac:dyDescent="0.25">
      <c r="A22" s="40"/>
      <c r="B22" s="41"/>
      <c r="C22" s="41"/>
      <c r="D22" s="41"/>
      <c r="E22" s="21" t="str">
        <f>IF(F21="Acrobatic - Pair","PA",IF(F21="Acrobatic Airborn","A",IF(F21="Acrobatic Balance","B",IF(F21="Acrobatic Combined","C",IF(F21="Acrobatic Platform","P",IF(F21="Technical Required Element",3,IF(LEFT(F21,4)="Hybr","H","")))))))</f>
        <v/>
      </c>
      <c r="F22" s="21" t="str">
        <f>IF(AND(F21="Hybrid - Thrust + 2 connections",BU21="X"),"Hybrid - Thrust",IF(OR(E22="A",E22="B",E22="C",E22="P"),"Acrobatic",""))</f>
        <v/>
      </c>
      <c r="G22" s="43"/>
      <c r="H22" s="222" t="str">
        <f t="shared" ref="H22" si="74">IF(E22="PA",IF(OR(LEFT(J21,1)="L",LEFT(J21,1)="S"),"A-Pair-Lift",IF(OR(LEFT(J21,1)="W",LEFT(J21,1)="T"),"A-Pair-Throw",IF(LEFT(J21,1)="J","A-Pair-Jump","A-Pair"))),IF(OR(E22="A",E22="B",E22="C",E22="P"),CONCATENATE("Acro-",E22),""))</f>
        <v/>
      </c>
      <c r="I22" s="216" t="e">
        <f t="shared" ref="I22" si="75">IF(OR(F21="Hybrid - min 4 swimmers (no DD)",LEFT(F21,5)="Trans"),0,INDEX($BV$3:$BV$9,MATCH(E22,$BU$3:$BU$9,0)))</f>
        <v>#N/A</v>
      </c>
      <c r="J22" s="210">
        <f t="shared" ref="J22" ca="1" si="76">IFERROR(IF($H21="No DD",0,IF(OR(ISBLANK(J21),J21="N/A"),0,INDEX(INDIRECT(AV22),MATCH(J21,INDIRECT(AV21),0)))),0)</f>
        <v>0</v>
      </c>
      <c r="K22" s="210">
        <f t="shared" ref="K22" ca="1" si="77">IFERROR(IF($H21="No DD",0,IF(OR(ISBLANK(K21),K21="N/A"),0,INDEX(INDIRECT(AW22),MATCH(K21,INDIRECT(AW21),0)))),0)</f>
        <v>0</v>
      </c>
      <c r="L22" s="210">
        <f t="shared" ref="L22" ca="1" si="78">IFERROR(IF($H21="No DD",0,IF(OR(ISBLANK(L21),L21="N/A"),0,INDEX(INDIRECT(AX22),MATCH(L21,INDIRECT(AX21),0)))),0)</f>
        <v>0</v>
      </c>
      <c r="M22" s="210">
        <f t="shared" ref="M22" ca="1" si="79">IFERROR(IF($H21="No DD",0,IF(OR(ISBLANK(M21),M21="N/A"),0,INDEX(INDIRECT(AY22),MATCH(M21,INDIRECT(AY21),0)))),0)</f>
        <v>0</v>
      </c>
      <c r="N22" s="210">
        <f t="shared" ref="N22" ca="1" si="80">IFERROR(IF($H21="No DD",0,IF(OR(ISBLANK(N21),N21="N/A"),0,INDEX(INDIRECT(AZ22),MATCH(N21,INDIRECT(AZ21),0)))),0)</f>
        <v>0</v>
      </c>
      <c r="O22" s="210">
        <f t="shared" ref="O22" ca="1" si="81">IFERROR(IF($H21="No DD",0,IF(OR(ISBLANK(O21),O21="N/A"),0,INDEX(INDIRECT(BA22),MATCH(O21,INDIRECT(BA21),0)))),0)</f>
        <v>0</v>
      </c>
      <c r="P22" s="210">
        <f t="shared" ref="P22" ca="1" si="82">IFERROR(IF($H21="No DD",0,IF(OR(ISBLANK(P21),P21="N/A"),0,INDEX(INDIRECT(BB22),MATCH(P21,INDIRECT(BB21),0)))),0)</f>
        <v>0</v>
      </c>
      <c r="Q22" s="210">
        <f t="shared" ref="Q22" ca="1" si="83">IFERROR(IF($H21="No DD",0,IF(OR(ISBLANK(Q21),Q21="N/A"),0,INDEX(INDIRECT(BC22),MATCH(Q21,INDIRECT(BC21),0)))),0)</f>
        <v>0</v>
      </c>
      <c r="R22" s="210">
        <f t="shared" ref="R22" ca="1" si="84">IFERROR(IF($H21="No DD",0,IF(OR(ISBLANK(R21),R21="N/A"),0,INDEX(INDIRECT(BD22),MATCH(R21,INDIRECT(BD21),0)))),0)</f>
        <v>0</v>
      </c>
      <c r="S22" s="210">
        <f t="shared" ref="S22" ca="1" si="85">IFERROR(IF($H21="No DD",0,IF(OR(ISBLANK(S21),S21="N/A"),0,INDEX(INDIRECT(BE22),MATCH(S21,INDIRECT(BE21),0)))),0)</f>
        <v>0</v>
      </c>
      <c r="T22" s="210">
        <f t="shared" ref="T22" ca="1" si="86">IFERROR(IF($H21="No DD",0,IF(OR(ISBLANK(T21),T21="N/A"),0,INDEX(INDIRECT(BF22),MATCH(T21,INDIRECT(BF21),0)))),0)</f>
        <v>0</v>
      </c>
      <c r="U22" s="210">
        <f t="shared" ref="U22" ca="1" si="87">IFERROR(IF($H21="No DD",0,IF(OR(ISBLANK(U21),U21="N/A"),0,INDEX(INDIRECT(BG22),MATCH(U21,INDIRECT(BG21),0)))),0)</f>
        <v>0</v>
      </c>
      <c r="V22" s="210">
        <f t="shared" ref="V22" ca="1" si="88">IFERROR(IF($H21="No DD",0,IF(OR(ISBLANK(V21),V21="N/A"),0,INDEX(INDIRECT(BH22),MATCH(V21,INDIRECT(BH21),0)))),0)</f>
        <v>0</v>
      </c>
      <c r="W22" s="210">
        <f t="shared" ref="W22" ca="1" si="89">IFERROR(IF($H21="No DD",0,IF(OR(ISBLANK(W21),W21="N/A"),0,INDEX(INDIRECT(BI22),MATCH(W21,INDIRECT(BI21),0)))),0)</f>
        <v>0</v>
      </c>
      <c r="X22" s="210">
        <f t="shared" ref="X22" ca="1" si="90">IFERROR(IF($H21="No DD",0,IF(OR(ISBLANK(X21),X21="N/A"),0,INDEX(INDIRECT(BJ22),MATCH(X21,INDIRECT(BJ21),0)))),0)</f>
        <v>0</v>
      </c>
      <c r="Y22" s="210">
        <f t="shared" ref="Y22" ca="1" si="91">IFERROR(IF($H21="No DD",0,IF(OR(ISBLANK(Y21),Y21="N/A"),0,INDEX(INDIRECT(BK22),MATCH(Y21,INDIRECT(BK21),0)))),0)</f>
        <v>0</v>
      </c>
      <c r="Z22" s="210">
        <f t="shared" ref="Z22" ca="1" si="92">IFERROR(IF($H21="No DD",0,IF(OR(ISBLANK(Z21),Z21="N/A"),0,INDEX(INDIRECT(BL22),MATCH(Z21,INDIRECT(BL21),0)))),0)</f>
        <v>0</v>
      </c>
      <c r="AA22" s="210">
        <f t="shared" ref="AA22" ca="1" si="93">IFERROR(IF($H21="No DD",0,IF(OR(ISBLANK(AA21),AA21="N/A"),0,INDEX(INDIRECT(BM22),MATCH(AA21,INDIRECT(BM21),0)))),0)</f>
        <v>0</v>
      </c>
      <c r="AB22" s="210">
        <f t="shared" ref="AB22" ca="1" si="94">IFERROR(IF($H21="No DD",0,IF(OR(ISBLANK(AB21),AB21="N/A"),0,INDEX(INDIRECT(BN22),MATCH(AB21,INDIRECT(BN21),0)))),0)</f>
        <v>0</v>
      </c>
      <c r="AC22" s="210">
        <f t="shared" ref="AC22" ca="1" si="95">IFERROR(IF($H21="No DD",0,IF(OR(ISBLANK(AC21),AC21="N/A"),0,INDEX(INDIRECT(BO22),MATCH(AC21,INDIRECT(BO21),0)))),0)</f>
        <v>0</v>
      </c>
      <c r="AD22" s="211" t="str">
        <f>IFERROR(IF(E22="H",INDEX(HybridBonus_Value,MATCH(AD21,HybridBonus_Code,0)),""),"")</f>
        <v/>
      </c>
      <c r="AE22" s="209" t="str">
        <f t="shared" ref="AE22" si="96">IFERROR(IF(J21&lt;&gt;"",SUM(I22:AD22),""),"")</f>
        <v/>
      </c>
      <c r="AF22" s="76"/>
      <c r="AG22" s="76"/>
      <c r="AH22" s="121"/>
      <c r="AI22" s="121"/>
      <c r="AJ22" s="121"/>
      <c r="AK22" s="121"/>
      <c r="AL22" s="121"/>
      <c r="AM22" s="121"/>
      <c r="AN22" s="121"/>
      <c r="AO22" s="121"/>
      <c r="AP22" s="121"/>
      <c r="AQ22" s="121"/>
      <c r="AR22" s="121"/>
      <c r="AS22" s="121"/>
      <c r="AT22" s="110"/>
      <c r="AU22" s="121"/>
      <c r="AV22" s="111" t="str">
        <f t="shared" ref="AV22" si="97">IF($E22="H","HybridDD_Value",IF($E22=3,"TreDD_Value",IF($E22="PA","AcroPair_Value",IF(LEFT($F21,4)="Acro",CONCATENATE(AV$16,$E22,"_Value"),""))))</f>
        <v/>
      </c>
      <c r="AW22" s="111" t="str">
        <f t="shared" ref="AW22:AX22" si="98">IF($E22="H","HybridDD_Value",IF($E22=3,"",IF(LEFT($F21,4)="Acro",CONCATENATE(AW$16,$E22,"_Value"),IF($E22="PA","",""))))</f>
        <v/>
      </c>
      <c r="AX22" s="111" t="str">
        <f t="shared" si="98"/>
        <v/>
      </c>
      <c r="AY22" s="111" t="str">
        <f t="shared" ref="AY22:BD22" si="99">IF($E22="H","HybridDD_Value",IF($E22=3,"",IF(LEFT($F21,4)="Acro",CONCATENATE(AY$16,$E22,"_Value"),IF($E22="PA","",""))))</f>
        <v/>
      </c>
      <c r="AZ22" s="111" t="str">
        <f t="shared" si="99"/>
        <v/>
      </c>
      <c r="BA22" s="111" t="str">
        <f t="shared" si="99"/>
        <v/>
      </c>
      <c r="BB22" s="111" t="str">
        <f t="shared" si="99"/>
        <v/>
      </c>
      <c r="BC22" s="111" t="str">
        <f t="shared" si="99"/>
        <v/>
      </c>
      <c r="BD22" s="111" t="str">
        <f t="shared" si="99"/>
        <v/>
      </c>
      <c r="BE22" s="110" t="str">
        <f t="shared" ref="BE22" si="100">IF($E22="H","HybridDD_Value","Data!$BI$1:$BI$5")</f>
        <v>Data!$BI$1:$BI$5</v>
      </c>
      <c r="BF22" s="110" t="str">
        <f t="shared" si="7"/>
        <v>Data!$BI$1:$BI$5</v>
      </c>
      <c r="BG22" s="110" t="str">
        <f t="shared" si="7"/>
        <v>Data!$BI$1:$BI$5</v>
      </c>
      <c r="BH22" s="110" t="str">
        <f t="shared" si="7"/>
        <v>Data!$BI$1:$BI$5</v>
      </c>
      <c r="BI22" s="110" t="str">
        <f t="shared" si="7"/>
        <v>Data!$BI$1:$BI$5</v>
      </c>
      <c r="BJ22" s="110" t="str">
        <f t="shared" si="7"/>
        <v>Data!$BI$1:$BI$5</v>
      </c>
      <c r="BK22" s="110" t="str">
        <f t="shared" si="7"/>
        <v>Data!$BI$1:$BI$5</v>
      </c>
      <c r="BL22" s="110" t="str">
        <f t="shared" si="7"/>
        <v>Data!$BI$1:$BI$5</v>
      </c>
      <c r="BM22" s="110" t="str">
        <f t="shared" si="7"/>
        <v>Data!$BI$1:$BI$5</v>
      </c>
      <c r="BN22" s="110" t="str">
        <f t="shared" si="7"/>
        <v>Data!$BI$1:$BI$5</v>
      </c>
      <c r="BO22" s="110" t="str">
        <f t="shared" si="7"/>
        <v>Data!$BI$1:$BI$5</v>
      </c>
      <c r="BP22" s="121"/>
      <c r="BQ22" s="121"/>
      <c r="BR22" s="122" t="str">
        <f>IFERROR(IF(AND($BS$6="T",$BS$8="T",LEFT(F21,4)="Acro",AE22&gt;3),"X",IF($N$7="X",IF(AND(E22="C",AE22&gt;$CA$6),"X",IF(AND(E22="A",AE22&gt;$CA$4),"X",IF(AND(E22="B",AE22&gt;$CA$5),"X",IF(AND(E22="P",AE22&gt;$CA$7),"X","")))),"")),"")</f>
        <v/>
      </c>
      <c r="BS22" s="114"/>
      <c r="BU22" s="108"/>
      <c r="CA22" s="111"/>
      <c r="CB22" s="111"/>
      <c r="CC22" s="111"/>
      <c r="CG22" s="108" t="str">
        <f t="shared" si="9"/>
        <v/>
      </c>
      <c r="CH22" s="108" t="str">
        <f t="shared" si="10"/>
        <v/>
      </c>
      <c r="CI22" s="108" t="str">
        <f t="shared" si="11"/>
        <v/>
      </c>
      <c r="CJ22" s="108" t="str">
        <f t="shared" si="12"/>
        <v/>
      </c>
      <c r="CR22" s="108">
        <v>4</v>
      </c>
      <c r="DI22" s="108" t="str" cm="1">
        <f t="array" ref="DI22">IFERROR(INDEX(DK22:ED22,MATCH(TRUE,INDEX((DK22:ED22&lt;&gt;""),),0)),"")</f>
        <v/>
      </c>
      <c r="DK22" s="108" t="str">
        <f t="shared" ref="DK22" si="101">IF(F21="Hybrid - Thrust + 2 connections",IF(COUNTIF($DK21:$ED21,DK21)&gt;1,DK21,""),IF(COUNTIF($DK21:$ED21,DK21)&gt;5,DK21,""))</f>
        <v/>
      </c>
      <c r="DL22" s="108" t="str">
        <f t="shared" ref="DL22" si="102">IF(G21="Hybrid - Thrust + 2 connections",IF(COUNTIF($DK21:$ED21,DL21)&gt;1,DL21,""),IF(COUNTIF($DK21:$ED21,DL21)&gt;5,DL21,""))</f>
        <v/>
      </c>
      <c r="DM22" s="108" t="str">
        <f t="shared" ref="DM22" si="103">IF(H21="Hybrid - Thrust + 2 connections",IF(COUNTIF($DK21:$ED21,DM21)&gt;1,DM21,""),IF(COUNTIF($DK21:$ED21,DM21)&gt;5,DM21,""))</f>
        <v/>
      </c>
      <c r="DN22" s="108" t="str">
        <f t="shared" ref="DN22" si="104">IF(I21="Hybrid - Thrust + 2 connections",IF(COUNTIF($DK21:$ED21,DN21)&gt;1,DN21,""),IF(COUNTIF($DK21:$ED21,DN21)&gt;5,DN21,""))</f>
        <v/>
      </c>
      <c r="DO22" s="108" t="str">
        <f t="shared" ref="DO22" si="105">IF(J21="Hybrid - Thrust + 2 connections",IF(COUNTIF($DK21:$ED21,DO21)&gt;1,DO21,""),IF(COUNTIF($DK21:$ED21,DO21)&gt;5,DO21,""))</f>
        <v/>
      </c>
      <c r="DP22" s="108" t="str">
        <f t="shared" ref="DP22" si="106">IF(K21="Hybrid - Thrust + 2 connections",IF(COUNTIF($DK21:$ED21,DP21)&gt;1,DP21,""),IF(COUNTIF($DK21:$ED21,DP21)&gt;5,DP21,""))</f>
        <v/>
      </c>
      <c r="DQ22" s="108" t="str">
        <f t="shared" ref="DQ22" si="107">IF(L21="Hybrid - Thrust + 2 connections",IF(COUNTIF($DK21:$ED21,DQ21)&gt;1,DQ21,""),IF(COUNTIF($DK21:$ED21,DQ21)&gt;5,DQ21,""))</f>
        <v/>
      </c>
      <c r="DR22" s="108" t="str">
        <f t="shared" ref="DR22" si="108">IF(M21="Hybrid - Thrust + 2 connections",IF(COUNTIF($DK21:$ED21,DR21)&gt;1,DR21,""),IF(COUNTIF($DK21:$ED21,DR21)&gt;5,DR21,""))</f>
        <v/>
      </c>
      <c r="DS22" s="108" t="str">
        <f t="shared" ref="DS22" si="109">IF(N21="Hybrid - Thrust + 2 connections",IF(COUNTIF($DK21:$ED21,DS21)&gt;1,DS21,""),IF(COUNTIF($DK21:$ED21,DS21)&gt;5,DS21,""))</f>
        <v/>
      </c>
      <c r="DT22" s="108" t="str">
        <f t="shared" ref="DT22" si="110">IF(O21="Hybrid - Thrust + 2 connections",IF(COUNTIF($DK21:$ED21,DT21)&gt;1,DT21,""),IF(COUNTIF($DK21:$ED21,DT21)&gt;5,DT21,""))</f>
        <v/>
      </c>
      <c r="DU22" s="108" t="str">
        <f t="shared" ref="DU22" si="111">IF(P21="Hybrid - Thrust + 2 connections",IF(COUNTIF($DK21:$ED21,DU21)&gt;1,DU21,""),IF(COUNTIF($DK21:$ED21,DU21)&gt;5,DU21,""))</f>
        <v/>
      </c>
      <c r="DV22" s="108" t="str">
        <f t="shared" ref="DV22" si="112">IF(Q21="Hybrid - Thrust + 2 connections",IF(COUNTIF($DK21:$ED21,DV21)&gt;1,DV21,""),IF(COUNTIF($DK21:$ED21,DV21)&gt;5,DV21,""))</f>
        <v/>
      </c>
      <c r="DW22" s="108" t="str">
        <f t="shared" ref="DW22" si="113">IF(R21="Hybrid - Thrust + 2 connections",IF(COUNTIF($DK21:$ED21,DW21)&gt;1,DW21,""),IF(COUNTIF($DK21:$ED21,DW21)&gt;5,DW21,""))</f>
        <v/>
      </c>
      <c r="DX22" s="108" t="str">
        <f t="shared" ref="DX22" si="114">IF(S21="Hybrid - Thrust + 2 connections",IF(COUNTIF($DK21:$ED21,DX21)&gt;1,DX21,""),IF(COUNTIF($DK21:$ED21,DX21)&gt;5,DX21,""))</f>
        <v/>
      </c>
      <c r="DY22" s="108" t="str">
        <f t="shared" ref="DY22" si="115">IF(T21="Hybrid - Thrust + 2 connections",IF(COUNTIF($DK21:$ED21,DY21)&gt;1,DY21,""),IF(COUNTIF($DK21:$ED21,DY21)&gt;5,DY21,""))</f>
        <v/>
      </c>
      <c r="DZ22" s="108" t="str">
        <f t="shared" ref="DZ22" si="116">IF(U21="Hybrid - Thrust + 2 connections",IF(COUNTIF($DK21:$ED21,DZ21)&gt;1,DZ21,""),IF(COUNTIF($DK21:$ED21,DZ21)&gt;5,DZ21,""))</f>
        <v/>
      </c>
      <c r="EA22" s="108" t="str">
        <f t="shared" ref="EA22" si="117">IF(V21="Hybrid - Thrust + 2 connections",IF(COUNTIF($DK21:$ED21,EA21)&gt;1,EA21,""),IF(COUNTIF($DK21:$ED21,EA21)&gt;5,EA21,""))</f>
        <v/>
      </c>
      <c r="EB22" s="108" t="str">
        <f t="shared" ref="EB22" si="118">IF(W21="Hybrid - Thrust + 2 connections",IF(COUNTIF($DK21:$ED21,EB21)&gt;1,EB21,""),IF(COUNTIF($DK21:$ED21,EB21)&gt;5,EB21,""))</f>
        <v/>
      </c>
      <c r="EC22" s="108" t="str">
        <f t="shared" ref="EC22" si="119">IF(X21="Hybrid - Thrust + 2 connections",IF(COUNTIF($DK21:$ED21,EC21)&gt;1,EC21,""),IF(COUNTIF($DK21:$ED21,EC21)&gt;5,EC21,""))</f>
        <v/>
      </c>
      <c r="ED22" s="108" t="str">
        <f t="shared" ref="ED22" si="120">IF(Y21="Hybrid - Thrust + 2 connections",IF(COUNTIF($DK21:$ED21,ED21)&gt;1,ED21,""),IF(COUNTIF($DK21:$ED21,ED21)&gt;5,ED21,""))</f>
        <v/>
      </c>
      <c r="EE22" s="108"/>
      <c r="EF22" s="108" t="str" cm="1">
        <f t="array" ref="EF22">IFERROR(INDEX(EG22:EZ22,MATCH(TRUE,INDEX((EG22:EZ22&lt;&gt;""),),0)),"")</f>
        <v/>
      </c>
      <c r="EG22" s="108" t="str">
        <f t="shared" ref="EG22" si="121">IF(COUNTIF($EG21:$EZ21,EG21)&gt;3,EG21,"")</f>
        <v/>
      </c>
      <c r="EH22" s="108" t="str">
        <f t="shared" ref="EH22" si="122">IF(COUNTIF($EG21:$EZ21,EH21)&gt;3,EH21,"")</f>
        <v/>
      </c>
      <c r="EI22" s="108" t="str">
        <f t="shared" ref="EI22" si="123">IF(COUNTIF($EG21:$EZ21,EI21)&gt;3,EI21,"")</f>
        <v/>
      </c>
      <c r="EJ22" s="108" t="str">
        <f t="shared" ref="EJ22" si="124">IF(COUNTIF($EG21:$EZ21,EJ21)&gt;3,EJ21,"")</f>
        <v/>
      </c>
      <c r="EK22" s="108" t="str">
        <f t="shared" ref="EK22" si="125">IF(COUNTIF($EG21:$EZ21,EK21)&gt;3,EK21,"")</f>
        <v/>
      </c>
      <c r="EL22" s="108" t="str">
        <f t="shared" ref="EL22" si="126">IF(COUNTIF($EG21:$EZ21,EL21)&gt;3,EL21,"")</f>
        <v/>
      </c>
      <c r="EM22" s="108" t="str">
        <f t="shared" ref="EM22" si="127">IF(COUNTIF($EG21:$EZ21,EM21)&gt;3,EM21,"")</f>
        <v/>
      </c>
      <c r="EN22" s="108" t="str">
        <f t="shared" ref="EN22" si="128">IF(COUNTIF($EG21:$EZ21,EN21)&gt;3,EN21,"")</f>
        <v/>
      </c>
      <c r="EO22" s="108" t="str">
        <f t="shared" ref="EO22" si="129">IF(COUNTIF($EG21:$EZ21,EO21)&gt;3,EO21,"")</f>
        <v/>
      </c>
      <c r="EP22" s="108" t="str">
        <f t="shared" ref="EP22" si="130">IF(COUNTIF($EG21:$EZ21,EP21)&gt;3,EP21,"")</f>
        <v/>
      </c>
      <c r="EQ22" s="108" t="str">
        <f t="shared" ref="EQ22" si="131">IF(COUNTIF($EG21:$EZ21,EQ21)&gt;3,EQ21,"")</f>
        <v/>
      </c>
      <c r="ER22" s="108" t="str">
        <f t="shared" ref="ER22" si="132">IF(COUNTIF($EG21:$EZ21,ER21)&gt;3,ER21,"")</f>
        <v/>
      </c>
      <c r="ES22" s="108" t="str">
        <f t="shared" ref="ES22" si="133">IF(COUNTIF($EG21:$EZ21,ES21)&gt;3,ES21,"")</f>
        <v/>
      </c>
      <c r="ET22" s="108" t="str">
        <f t="shared" ref="ET22" si="134">IF(COUNTIF($EG21:$EZ21,ET21)&gt;3,ET21,"")</f>
        <v/>
      </c>
      <c r="EU22" s="108" t="str">
        <f t="shared" ref="EU22" si="135">IF(COUNTIF($EG21:$EZ21,EU21)&gt;3,EU21,"")</f>
        <v/>
      </c>
      <c r="EV22" s="108" t="str">
        <f t="shared" ref="EV22" si="136">IF(COUNTIF($EG21:$EZ21,EV21)&gt;3,EV21,"")</f>
        <v/>
      </c>
      <c r="EW22" s="108" t="str">
        <f t="shared" ref="EW22" si="137">IF(COUNTIF($EG21:$EZ21,EW21)&gt;3,EW21,"")</f>
        <v/>
      </c>
      <c r="EX22" s="108" t="str">
        <f t="shared" ref="EX22" si="138">IF(COUNTIF($EG21:$EZ21,EX21)&gt;3,EX21,"")</f>
        <v/>
      </c>
      <c r="EY22" s="108" t="str">
        <f t="shared" ref="EY22" si="139">IF(COUNTIF($EG21:$EZ21,EY21)&gt;3,EY21,"")</f>
        <v/>
      </c>
      <c r="EZ22" s="108" t="str">
        <f t="shared" ref="EZ22" si="140">IF(COUNTIF($EG21:$EZ21,EZ21)&gt;3,EZ21,"")</f>
        <v/>
      </c>
      <c r="FA22" s="108"/>
      <c r="FB22" s="108"/>
      <c r="FC22" s="108"/>
      <c r="FD22" s="108"/>
      <c r="FE22" s="108"/>
      <c r="FF22" s="108"/>
      <c r="FG22" s="108"/>
      <c r="FH22" s="108"/>
      <c r="FI22" s="108" t="str">
        <f t="shared" ref="FI22" si="141">IF($F21="Hybrid - Thrust + 2 connections",COUNTBLANK(J21:L21),"")</f>
        <v/>
      </c>
      <c r="FJ22" s="108"/>
      <c r="FN22" s="111"/>
    </row>
    <row r="23" spans="1:170" ht="12.75" x14ac:dyDescent="0.25">
      <c r="A23" s="40" t="str">
        <f>IF(AND(E21="",A21&lt;&gt;""),IF(BS21=$BS$18,"",IF(C21&lt;&gt;"",IF(D21=59,MINUTE(BS21)+1,MINUTE(BS21)),"")),"")</f>
        <v/>
      </c>
      <c r="B23" s="41" t="str">
        <f>IF(AND(E21="",B21&lt;&gt;""),IF(BS21=$BS$18,"",IF(C21&lt;&gt;"",IF(D21=59,0,SECOND(BS21)+1),"")),"")</f>
        <v/>
      </c>
      <c r="C23" s="51"/>
      <c r="D23" s="51"/>
      <c r="E23" s="9"/>
      <c r="F23" s="52"/>
      <c r="G23" s="43" t="str">
        <f>IF(F23&lt;&gt;"",IF(OR(F23="Transition",F23="Transition - Surface Connection"),0,MAX($G$19:G22)+1),"")</f>
        <v/>
      </c>
      <c r="H23" s="57" t="str">
        <f t="shared" ref="H23" si="142">IFERROR(IF(E24="3","",IF(OR(F23="Hybrid - min 4 swimmers (no DD)",LEFT(F23,5)="Trans"),"No DD",CONCATENATE("BM = ",I24))),"")</f>
        <v/>
      </c>
      <c r="I23" s="58"/>
      <c r="J23" s="130"/>
      <c r="K23" s="137"/>
      <c r="L23" s="137"/>
      <c r="M23" s="137"/>
      <c r="N23" s="137"/>
      <c r="O23" s="137"/>
      <c r="P23" s="137"/>
      <c r="Q23" s="137"/>
      <c r="R23" s="137"/>
      <c r="S23" s="137"/>
      <c r="T23" s="137"/>
      <c r="U23" s="137"/>
      <c r="V23" s="137"/>
      <c r="W23" s="137"/>
      <c r="X23" s="137"/>
      <c r="Y23" s="137"/>
      <c r="Z23" s="137"/>
      <c r="AA23" s="137"/>
      <c r="AB23" s="137"/>
      <c r="AC23" s="137"/>
      <c r="AD23" s="191"/>
      <c r="AE23" s="44"/>
      <c r="AF23" s="75"/>
      <c r="AG23" s="75"/>
      <c r="AH23" s="110"/>
      <c r="AI23" s="110"/>
      <c r="AJ23" s="110"/>
      <c r="AK23" s="110"/>
      <c r="AL23" s="110"/>
      <c r="AM23" s="110"/>
      <c r="AN23" s="110"/>
      <c r="AO23" s="110"/>
      <c r="AP23" s="110"/>
      <c r="AQ23" s="110"/>
      <c r="AR23" s="110"/>
      <c r="AS23" s="110"/>
      <c r="AT23" s="110" t="str">
        <f>IFERROR(IF(F23&lt;&gt;"",INDEX(Parts_Active,MATCH(F23,Parts_Active,0)),""),"No")</f>
        <v/>
      </c>
      <c r="AU23" s="110"/>
      <c r="AV23" s="110" t="str">
        <f t="shared" ref="AV23" si="143">IF($E24="H",IF($F23="Hybrid - Thrust + 2 connections","Hybrid_Mix_Req","HybridDD_Code"),IF($E24=3,"TreDD_Code",IF($E24="PA","AcroPair_Code",IF(LEFT($F23,4)="Acro",CONCATENATE(AV$16,$E24,"_Code"),"Data!$BI$1:$BI$5"))))</f>
        <v>Data!$BI$1:$BI$5</v>
      </c>
      <c r="AW23" s="110" t="str">
        <f t="shared" ref="AW23" si="144">IF($E24="H",IF($F23="Hybrid - Thrust + 2 connections","Hybrid_Mix_Req","HybridDD_Code"),IF($E24=3,"TreDD_Code",IF($E24="PA","AcroPair_Code",IF(LEFT($F23,4)="Acro",CONCATENATE(AW$16,$E24,"_Code"),"Data!$BI$1:$BI$5"))))</f>
        <v>Data!$BI$1:$BI$5</v>
      </c>
      <c r="AX23" s="110" t="str">
        <f t="shared" ref="AX23" si="145">IF($E24="H",IF($F23="Hybrid - Thrust + 2 connections","Hybrid_Mix_Req","HybridDD_Code"),IF($E24=3,"TreDD_Code",IF($E24="PA","AcroPair_Code",IF(LEFT($F23,4)="Acro",CONCATENATE(AX$16,$E24,"_Code"),"Data!$BI$1:$BI$5"))))</f>
        <v>Data!$BI$1:$BI$5</v>
      </c>
      <c r="AY23" s="110" t="str">
        <f t="shared" ref="AY23" si="146">IF($E24="H",IF($F23="Hybrid - Thrust + 2 connections","Data!$BI$1:$BI$5","HybridDD_Code"),IF($E24=3,"Data!$BI$1:$BI$5",IF(LEFT($F23,4)="Acro",CONCATENATE(AY$16,$E24,"_Code"),IF($E24="PA","","Data!$BI$1:$BI$5"))))</f>
        <v>Data!$BI$1:$BI$5</v>
      </c>
      <c r="AZ23" s="110" t="str">
        <f t="shared" ref="AZ23" si="147">IF($E24="H",IF($F23="Hybrid - Thrust + 2 connections","Data!$BI$1:$BI$5","HybridDD_Code"),IF($E24=3,"Data!$BI$1:$BI$5",IF(LEFT($F23,4)="Acro",CONCATENATE(AZ$16,$E24,"_Code"),IF($E24="PA","","Data!$BI$1:$BI$5"))))</f>
        <v>Data!$BI$1:$BI$5</v>
      </c>
      <c r="BA23" s="110" t="str">
        <f t="shared" ref="BA23" si="148">IF($E24="H",IF($F23="Hybrid - Thrust + 2 connections","Data!$BI$1:$BI$5","HybridDD_Code"),IF($E24=3,"Data!$BI$1:$BI$5",IF(LEFT($F23,4)="Acro",CONCATENATE(BA$16,$E24,"_Code"),IF($E24="PA","","Data!$BI$1:$BI$5"))))</f>
        <v>Data!$BI$1:$BI$5</v>
      </c>
      <c r="BB23" s="110" t="str">
        <f t="shared" ref="BB23" si="149">IF($E24="H",IF($F23="Hybrid - Thrust + 2 connections","Data!$BI$1:$BI$5","HybridDD_Code"),IF($E24=3,"Data!$BI$1:$BI$5",IF(LEFT($F23,4)="Acro",CONCATENATE(BB$16,$E24,"_Code"),IF($E24="PA","","Data!$BI$1:$BI$5"))))</f>
        <v>Data!$BI$1:$BI$5</v>
      </c>
      <c r="BC23" s="110" t="str">
        <f t="shared" ref="BC23" si="150">IF($E24="H",IF($F23="Hybrid - Thrust + 2 connections","Data!$BI$1:$BI$5","HybridDD_Code"),IF($E24=3,"Data!$BI$1:$BI$5",IF(LEFT($F23,4)="Acro",CONCATENATE(BC$16,$E24,"_Code"),IF($E24="PA","","Data!$BI$1:$BI$5"))))</f>
        <v>Data!$BI$1:$BI$5</v>
      </c>
      <c r="BD23" s="110" t="str">
        <f t="shared" ref="BD23" si="151">IF($E24="H",IF($F23="Hybrid - Thrust + 2 connections","Data!$BI$1:$BI$5","HybridDD_Code"),IF($E24=3,"Data!$BI$1:$BI$5",IF(LEFT($F23,4)="Acro",CONCATENATE(BD$16,$E24,"_Code"),IF($E24="PA","","Data!$BI$1:$BI$5"))))</f>
        <v>Data!$BI$1:$BI$5</v>
      </c>
      <c r="BE23" s="110" t="str">
        <f t="shared" ref="BE23" si="152">IF($E24="H",IF($F23="Hybrid - Thrust + 2 connections","Data!$BI$1:$BI$5","HybridDD_Code"),"Data!$BI$1:$BI$5")</f>
        <v>Data!$BI$1:$BI$5</v>
      </c>
      <c r="BF23" s="110" t="str">
        <f t="shared" si="7"/>
        <v>Data!$BI$1:$BI$5</v>
      </c>
      <c r="BG23" s="110" t="str">
        <f t="shared" si="7"/>
        <v>Data!$BI$1:$BI$5</v>
      </c>
      <c r="BH23" s="110" t="str">
        <f t="shared" si="7"/>
        <v>Data!$BI$1:$BI$5</v>
      </c>
      <c r="BI23" s="110" t="str">
        <f t="shared" si="7"/>
        <v>Data!$BI$1:$BI$5</v>
      </c>
      <c r="BJ23" s="110" t="str">
        <f t="shared" si="7"/>
        <v>Data!$BI$1:$BI$5</v>
      </c>
      <c r="BK23" s="110" t="str">
        <f t="shared" si="7"/>
        <v>Data!$BI$1:$BI$5</v>
      </c>
      <c r="BL23" s="110" t="str">
        <f t="shared" si="7"/>
        <v>Data!$BI$1:$BI$5</v>
      </c>
      <c r="BM23" s="110" t="str">
        <f t="shared" si="7"/>
        <v>Data!$BI$1:$BI$5</v>
      </c>
      <c r="BN23" s="110" t="str">
        <f t="shared" si="7"/>
        <v>Data!$BI$1:$BI$5</v>
      </c>
      <c r="BO23" s="110" t="str">
        <f t="shared" si="7"/>
        <v>Data!$BI$1:$BI$5</v>
      </c>
      <c r="BP23" s="110"/>
      <c r="BQ23" s="110"/>
      <c r="BR23" s="113" t="str">
        <f t="shared" ref="BR23" si="153">IFERROR(TIME(0,A23,B23),"")</f>
        <v/>
      </c>
      <c r="BS23" s="114">
        <f>IFERROR(TIME(0,C23,D23),"")</f>
        <v>0</v>
      </c>
      <c r="BT23" s="114" t="str">
        <f t="shared" ref="BT23" si="154">IF(BS23&gt;$D$12,"X","")</f>
        <v/>
      </c>
      <c r="BU23" s="108" t="str">
        <f>IF(AND(F23="Hybrid - Thrust + 2 connections",OR(LEFT(J23,1)="T",LEFT(K23,1)="T",LEFT(L23,1)="T",LEFT(NG23,1)="T",LEFT(M23,1)="T",LEFT(N23,1)="T",LEFT(O23,1)="T",LEFT(P23,1)="T",LEFT(Q23,1)="T",LEFT(R23,1)="T",LEFT(S23,1)="T",LEFT(T23,1)="T",LEFT(U23,1)="T",LEFT(V23,1)="T",LEFT(W23,1)="T",LEFT(X23,1)="T",LEFT(AA23,1)="T",LEFT(AB23,1)="T",LEFT(AC23,1)="T")),IF(OR(LEN(J23)=2,LEN(K23)=2,LEN(L23)=2,LEN(M23)=2,LEN(N23)=2,LEN(O23)=2,LEN(P23)=2,LEN(Q23)=2,LEN(R23)=2,LEN(S23)=2,LEN(T23)=2,LEN(U23)=2,LEN(V23)=2,LEN(W23)=2,LEN(X23)=2,LEN(Y23)=2,LEN(Z23)=2,LEN(AA23)=2,LEN(AB23)=2,LEN(AC23)=2),"X",""),"")</f>
        <v/>
      </c>
      <c r="BW23" s="108" t="str">
        <f>IF(LEFT(F23,4)="Acro",IF(AND(N23&lt;&gt;"",M23=RIGHT(N23,2)),"X","OK"),"")</f>
        <v/>
      </c>
      <c r="BX23" s="110" t="str">
        <f t="shared" ref="BX23:CE23" si="155">IFERROR(IF(AND(LEFT($F23,4)="Acro",INDEX(Requ_App,MATCH(AV23,Requ_Code,0))="No"),"X",""),"")</f>
        <v/>
      </c>
      <c r="BY23" s="110" t="str">
        <f t="shared" si="155"/>
        <v/>
      </c>
      <c r="BZ23" s="110" t="str">
        <f t="shared" si="155"/>
        <v/>
      </c>
      <c r="CA23" s="110" t="str">
        <f t="shared" si="155"/>
        <v/>
      </c>
      <c r="CB23" s="110" t="str">
        <f t="shared" si="155"/>
        <v/>
      </c>
      <c r="CC23" s="110" t="str">
        <f t="shared" si="155"/>
        <v/>
      </c>
      <c r="CD23" s="110" t="str">
        <f t="shared" si="155"/>
        <v/>
      </c>
      <c r="CE23" s="110" t="str">
        <f t="shared" si="155"/>
        <v/>
      </c>
      <c r="CF23" s="110" t="str">
        <f>IFERROR(IF(AND(LEFT($F23,4)="Acro",INDEX(Requ_App,MATCH(BC23,Requ_Code,0))="No"),"X",""),"")</f>
        <v/>
      </c>
      <c r="CG23" s="108" t="str">
        <f t="shared" si="9"/>
        <v/>
      </c>
      <c r="CH23" s="108" t="str">
        <f t="shared" si="10"/>
        <v/>
      </c>
      <c r="CI23" s="108" t="str">
        <f t="shared" si="11"/>
        <v/>
      </c>
      <c r="CJ23" s="108" t="str">
        <f t="shared" si="12"/>
        <v/>
      </c>
      <c r="CN23" s="108">
        <f t="shared" ref="CN23" si="156">IF(AND(E24="A",OR(Q23="Grip",Q23="Conn",Q23="Catch")),"A1",IF(AND(E24="A",OR(Q23="Hula",Q23="RetSq",Q23="RetPa")),"A2",IF(AND(E24="B",OR(Q23="Twirl",Q23="RotF")),"B1",IF(AND(E24="B",OR(Q23="Moon",Q23="Mov")),"B2",IF(AND(E24="B",Q23="Hold"),"B3",IF(AND(E24="P",OR(Q23="Porp",Q23="Spitch")),"P1",IF(AND(E24="P",OR(Q23="Dive",Q23="Ps1",Q23="Ps1t0.5",Q23="Ps1op",Q23="Ps1t0,5o",Q23="Ps1t1",Q23="CH+")),"P2",IF(AND(E24="P",OR(Q23="Spider",Q23="Climb")),"P3",IF(AND(E24="P",OR(Q23="Fall",Q23="FTurn")),"P4",IF(AND(E24="C",OR(Q23="Jump",Q23="Jump&gt;",Q23="On1Foot",Q23="1F&gt;1F")),"C1",IF(AND(E24="C",OR(Q23="Run",Q23="BRun")),"C2",1)))))))))))</f>
        <v>1</v>
      </c>
      <c r="CO23" s="108">
        <f t="shared" ref="CO23" si="157">IF(AND(E24="A",OR(R23="Grip",R23="Conn",R23="Catch")),"A1",IF(AND(E24="A",OR(R23="Hula",R23="RetSq",R23="RetPa")),"A2",IF(AND(E24="B",OR(R23="Twirl",R23="RotF")),"B1",IF(AND(E24="B",OR(R23="Moon",R23="Mov")),"B3",IF(AND(E24="B",R23="Hold"),"B2",IF(AND(E24="P",OR(R23="Porp",R23="Spitch")),"P1",IF(AND(E24="P",OR(R23="Dive",R23="Ps1",R23="Ps1t0.5",R23="Ps1op",R23="Ps1t0,5o",R23="Ps1t1",R23="CH+")),"P2",IF(AND(E24="P",OR(R23="Spider",R23="Climb")),"P3",IF(AND(E24="P",OR(R23="Fall",R23="FTurn")),"P4",IF(AND(E24="C",OR(R23="Jump",R23="Jump&gt;",R23="On1Foot",R23="1F&gt;1F")),"C1",IF(AND(E24="C",OR(R23="Run",R23="BRun")),"C2",2)))))))))))</f>
        <v>2</v>
      </c>
      <c r="CP23" s="108" t="str">
        <f t="shared" ref="CP23" si="158">IF(AND(LEFT(F23,4)="Acro",Q23&lt;&gt;"",OR(Q23=R23,CN23=CO23)),IF(R23="C-Roll","","X"),IF(OR(AND(E24="A",Q23="Catch",R23&lt;&gt;"Dbl"),AND(E24="A",R23="Catch",Q23&lt;&gt;"Dbl")),"X",""))</f>
        <v/>
      </c>
      <c r="CQ23" s="108" t="str">
        <f t="shared" ref="CQ23" si="159">IF(E24="PA",J23,"")</f>
        <v/>
      </c>
      <c r="CR23" s="108">
        <v>5</v>
      </c>
      <c r="CT23" s="108" t="str">
        <f t="shared" ref="CT23" si="160">IF(AND($E24="A",COUNTIF($DC$19:$DD$68,DC23)&gt;1),DC23,"")</f>
        <v/>
      </c>
      <c r="CU23" s="108" t="str">
        <f t="shared" ref="CU23" si="161">IF(AND($E24="A",COUNTIF($DC$19:$DD$68,DD23)&gt;1),DD23,"")</f>
        <v/>
      </c>
      <c r="CV23" s="108" t="str">
        <f t="shared" ref="CV23" ca="1" si="162">IF(AND($E24="B",COUNTIF($J$19:$J$68,J23)&gt;1),J23,"")</f>
        <v/>
      </c>
      <c r="CW23" s="108" t="str">
        <f t="shared" ref="CW23" ca="1" si="163">IF(AND($E24="B",COUNTIF($K$19:$K$68,K23)&gt;1),K23,"")</f>
        <v/>
      </c>
      <c r="CX23" s="108" t="str">
        <f t="shared" ref="CX23" ca="1" si="164">IF(AND($E24="C",COUNTIF($J$19:$J$68,J23)&gt;1),J23,"")</f>
        <v/>
      </c>
      <c r="CY23" s="108" t="str">
        <f t="shared" ref="CY23" ca="1" si="165">IF(AND($E24="P",COUNTIF($J$19:$J$68,J23)&gt;1),J23,"")</f>
        <v/>
      </c>
      <c r="CZ23" s="108" t="str">
        <f t="shared" ref="CZ23" ca="1" si="166">IF(AND($E24="P",COUNTIF($K$19:$K$68,K23)&gt;1),K23,"")</f>
        <v/>
      </c>
      <c r="DA23" s="108" t="str">
        <f t="shared" ref="DA23" si="167">IF(AND($E24="P",COUNTIF($DC$19:$DD$68,DC23)&gt;1),DC23,"")</f>
        <v/>
      </c>
      <c r="DB23" s="108" t="str">
        <f t="shared" ref="DB23" si="168">IF(AND($E24="P",COUNTIF($DC$19:$DD$68,DD23)&gt;1),DD23,"")</f>
        <v/>
      </c>
      <c r="DC23" s="108" t="str">
        <f t="shared" ref="DC23" si="169">IFERROR(IF(OR(E24="A",E24="P"),M23,""),"")</f>
        <v/>
      </c>
      <c r="DD23" s="108" t="str">
        <f t="shared" ref="DD23" si="170">IFERROR(IF(OR(E24="A",E24="P"),RIGHT(N23,2),""),"")</f>
        <v/>
      </c>
      <c r="DF23" s="108" t="str">
        <f t="shared" ref="DF23" si="171">IF(AND($F$8="Open Team Acrobatic",LEFT(F23,4)="Acro"),E24,"")</f>
        <v/>
      </c>
      <c r="DG23" s="108" t="str">
        <f t="shared" ref="DG23" si="172">IFERROR(IF(HLOOKUP(DF23,$DD$12:$DG$13,2,FALSE)&gt;2,"X",""),"")</f>
        <v/>
      </c>
      <c r="DI23" s="108" t="str">
        <f t="shared" ref="DI23" si="173">IF(OR(AND(F23="Hybrid - Thrust + 2 connections",DI24="T"),AND(F23="Hybrid - Free",DI24&lt;&gt;"")),"X","")</f>
        <v/>
      </c>
      <c r="DK23" s="108">
        <f t="shared" ref="DK23" si="174">IFERROR(IF(AND($E24="H",J23&lt;&gt;""),IF(OR(LEFT(J23,1)="T",LEFT(J23,1)="S",LEFT(J23,1)="A",LEFT(J23,1)="F",LEFT(J23,1)="C"),LEFT(J23,1),"R"),DK$18),"")</f>
        <v>1</v>
      </c>
      <c r="DL23" s="108">
        <f t="shared" ref="DL23" si="175">IFERROR(IF(AND($E24="H",K23&lt;&gt;""),IF(OR(LEFT(K23,1)="T",LEFT(K23,1)="S",LEFT(K23,1)="A",LEFT(K23,1)="F",LEFT(K23,1)="C"),LEFT(K23,1),"R"),DL$18),"")</f>
        <v>2</v>
      </c>
      <c r="DM23" s="108">
        <f t="shared" ref="DM23" si="176">IFERROR(IF(AND($E24="H",L23&lt;&gt;""),IF(OR(LEFT(L23,1)="T",LEFT(L23,1)="S",LEFT(L23,1)="A",LEFT(L23,1)="F",LEFT(L23,1)="C"),LEFT(L23,1),"R"),DM$18),"")</f>
        <v>3</v>
      </c>
      <c r="DN23" s="108">
        <f t="shared" ref="DN23" si="177">IFERROR(IF(AND($E24="H",M23&lt;&gt;""),IF(OR(LEFT(M23,1)="T",LEFT(M23,1)="S",LEFT(M23,1)="A",LEFT(M23,1)="F",LEFT(M23,1)="C"),LEFT(M23,1),"R"),DN$18),"")</f>
        <v>4</v>
      </c>
      <c r="DO23" s="108">
        <f t="shared" ref="DO23" si="178">IFERROR(IF(AND($E24="H",N23&lt;&gt;""),IF(OR(LEFT(N23,1)="T",LEFT(N23,1)="S",LEFT(N23,1)="A",LEFT(N23,1)="F",LEFT(N23,1)="C"),LEFT(N23,1),"R"),DO$18),"")</f>
        <v>5</v>
      </c>
      <c r="DP23" s="108">
        <f t="shared" ref="DP23" si="179">IFERROR(IF(AND($E24="H",O23&lt;&gt;""),IF(OR(LEFT(O23,1)="T",LEFT(O23,1)="S",LEFT(O23,1)="A",LEFT(O23,1)="F",LEFT(O23,1)="C"),LEFT(O23,1),"R"),DP$18),"")</f>
        <v>6</v>
      </c>
      <c r="DQ23" s="108">
        <f t="shared" ref="DQ23" si="180">IFERROR(IF(AND($E24="H",P23&lt;&gt;""),IF(OR(LEFT(P23,1)="T",LEFT(P23,1)="S",LEFT(P23,1)="A",LEFT(P23,1)="F",LEFT(P23,1)="C"),LEFT(P23,1),"R"),DQ$18),"")</f>
        <v>7</v>
      </c>
      <c r="DR23" s="108">
        <f t="shared" ref="DR23" si="181">IFERROR(IF(AND($E24="H",Q23&lt;&gt;""),IF(OR(LEFT(Q23,1)="T",LEFT(Q23,1)="S",LEFT(Q23,1)="A",LEFT(Q23,1)="F",LEFT(Q23,1)="C"),LEFT(Q23,1),"R"),DR$18),"")</f>
        <v>8</v>
      </c>
      <c r="DS23" s="108">
        <f t="shared" ref="DS23" si="182">IFERROR(IF(AND($E24="H",R23&lt;&gt;""),IF(OR(LEFT(R23,1)="T",LEFT(R23,1)="S",LEFT(R23,1)="A",LEFT(R23,1)="F",LEFT(R23,1)="C"),LEFT(R23,1),"R"),DS$18),"")</f>
        <v>9</v>
      </c>
      <c r="DT23" s="108">
        <f t="shared" ref="DT23" si="183">IFERROR(IF(AND($E24="H",S23&lt;&gt;""),IF(OR(LEFT(S23,1)="T",LEFT(S23,1)="S",LEFT(S23,1)="A",LEFT(S23,1)="F",LEFT(S23,1)="C"),LEFT(S23,1),"R"),DT$18),"")</f>
        <v>10</v>
      </c>
      <c r="DU23" s="108">
        <f t="shared" ref="DU23" si="184">IFERROR(IF(AND($E24="H",T23&lt;&gt;""),IF(OR(LEFT(T23,1)="T",LEFT(T23,1)="S",LEFT(T23,1)="A",LEFT(T23,1)="F",LEFT(T23,1)="C"),LEFT(T23,1),"R"),DU$18),"")</f>
        <v>11</v>
      </c>
      <c r="DV23" s="108">
        <f t="shared" ref="DV23" si="185">IFERROR(IF(AND($E24="H",U23&lt;&gt;""),IF(OR(LEFT(U23,1)="T",LEFT(U23,1)="S",LEFT(U23,1)="A",LEFT(U23,1)="F",LEFT(U23,1)="C"),LEFT(U23,1),"R"),DV$18),"")</f>
        <v>12</v>
      </c>
      <c r="DW23" s="108">
        <f t="shared" ref="DW23" si="186">IFERROR(IF(AND($E24="H",V23&lt;&gt;""),IF(OR(LEFT(V23,1)="T",LEFT(V23,1)="S",LEFT(V23,1)="A",LEFT(V23,1)="F",LEFT(V23,1)="C"),LEFT(V23,1),"R"),DW$18),"")</f>
        <v>13</v>
      </c>
      <c r="DX23" s="108">
        <f t="shared" ref="DX23" si="187">IFERROR(IF(AND($E24="H",W23&lt;&gt;""),IF(OR(LEFT(W23,1)="T",LEFT(W23,1)="S",LEFT(W23,1)="A",LEFT(W23,1)="F",LEFT(W23,1)="C"),LEFT(W23,1),"R"),DX$18),"")</f>
        <v>14</v>
      </c>
      <c r="DY23" s="108">
        <f t="shared" ref="DY23" si="188">IFERROR(IF(AND($E24="H",X23&lt;&gt;""),IF(OR(LEFT(X23,1)="T",LEFT(X23,1)="S",LEFT(X23,1)="A",LEFT(X23,1)="F",LEFT(X23,1)="C"),LEFT(X23,1),"R"),DY$18),"")</f>
        <v>15</v>
      </c>
      <c r="DZ23" s="108">
        <f t="shared" ref="DZ23" si="189">IFERROR(IF(AND($E24="H",Y23&lt;&gt;""),IF(OR(LEFT(Y23,1)="T",LEFT(Y23,1)="S",LEFT(Y23,1)="A",LEFT(Y23,1)="F",LEFT(Y23,1)="C"),LEFT(Y23,1),"R"),DZ$18),"")</f>
        <v>16</v>
      </c>
      <c r="EA23" s="108">
        <f t="shared" ref="EA23" si="190">IFERROR(IF(AND($E24="H",Z23&lt;&gt;""),IF(OR(LEFT(Z23,1)="T",LEFT(Z23,1)="S",LEFT(Z23,1)="A",LEFT(Z23,1)="F",LEFT(Z23,1)="C"),LEFT(Z23,1),"R"),EA$18),"")</f>
        <v>17</v>
      </c>
      <c r="EB23" s="108">
        <f t="shared" ref="EB23" si="191">IFERROR(IF(AND($E24="H",AA23&lt;&gt;""),IF(OR(LEFT(AA23,1)="T",LEFT(AA23,1)="S",LEFT(AA23,1)="A",LEFT(AA23,1)="F",LEFT(AA23,1)="C"),LEFT(AA23,1),"R"),EB$18),"")</f>
        <v>18</v>
      </c>
      <c r="EC23" s="108">
        <f t="shared" ref="EC23" si="192">IFERROR(IF(AND($E24="H",AB23&lt;&gt;""),IF(OR(LEFT(AB23,1)="T",LEFT(AB23,1)="S",LEFT(AB23,1)="A",LEFT(AB23,1)="F",LEFT(AB23,1)="C"),LEFT(AB23,1),"R"),EC$18),"")</f>
        <v>19</v>
      </c>
      <c r="ED23" s="108">
        <f t="shared" ref="ED23" si="193">IFERROR(IF(AND($E24="H",AC23&lt;&gt;""),IF(OR(LEFT(AC23,1)="T",LEFT(AC23,1)="S",LEFT(AC23,1)="A",LEFT(AC23,1)="F",LEFT(AC23,1)="C"),LEFT(AC23,1),"R"),ED$18),"")</f>
        <v>20</v>
      </c>
      <c r="EE23" s="108"/>
      <c r="EF23" s="108"/>
      <c r="EG23" s="108">
        <f t="shared" ref="EG23:EZ23" si="194">IFERROR(IF(J23&lt;&gt;"",UPPER(J23),EG$18),EG$18)</f>
        <v>1</v>
      </c>
      <c r="EH23" s="108">
        <f t="shared" si="194"/>
        <v>2</v>
      </c>
      <c r="EI23" s="108">
        <f t="shared" si="194"/>
        <v>3</v>
      </c>
      <c r="EJ23" s="108">
        <f t="shared" si="194"/>
        <v>4</v>
      </c>
      <c r="EK23" s="108">
        <f t="shared" si="194"/>
        <v>5</v>
      </c>
      <c r="EL23" s="108">
        <f t="shared" si="194"/>
        <v>6</v>
      </c>
      <c r="EM23" s="108">
        <f t="shared" si="194"/>
        <v>7</v>
      </c>
      <c r="EN23" s="108">
        <f t="shared" si="194"/>
        <v>8</v>
      </c>
      <c r="EO23" s="108">
        <f t="shared" si="194"/>
        <v>9</v>
      </c>
      <c r="EP23" s="108">
        <f t="shared" si="194"/>
        <v>10</v>
      </c>
      <c r="EQ23" s="108">
        <f t="shared" si="194"/>
        <v>11</v>
      </c>
      <c r="ER23" s="108">
        <f t="shared" si="194"/>
        <v>12</v>
      </c>
      <c r="ES23" s="108">
        <f t="shared" si="194"/>
        <v>13</v>
      </c>
      <c r="ET23" s="108">
        <f t="shared" si="194"/>
        <v>14</v>
      </c>
      <c r="EU23" s="108">
        <f t="shared" si="194"/>
        <v>15</v>
      </c>
      <c r="EV23" s="108">
        <f t="shared" si="194"/>
        <v>16</v>
      </c>
      <c r="EW23" s="108">
        <f t="shared" si="194"/>
        <v>17</v>
      </c>
      <c r="EX23" s="108">
        <f t="shared" si="194"/>
        <v>18</v>
      </c>
      <c r="EY23" s="108">
        <f t="shared" si="194"/>
        <v>19</v>
      </c>
      <c r="EZ23" s="108">
        <f t="shared" si="194"/>
        <v>20</v>
      </c>
      <c r="FA23" s="108"/>
      <c r="FB23" s="108">
        <f t="shared" ref="FB23" si="195">COUNTIF($DK23:$ED23,FB$18)</f>
        <v>0</v>
      </c>
      <c r="FC23" s="108">
        <f t="shared" si="15"/>
        <v>0</v>
      </c>
      <c r="FD23" s="108">
        <f t="shared" si="15"/>
        <v>0</v>
      </c>
      <c r="FE23" s="108">
        <f t="shared" si="15"/>
        <v>0</v>
      </c>
      <c r="FF23" s="108">
        <f t="shared" si="15"/>
        <v>0</v>
      </c>
      <c r="FG23" s="108">
        <f t="shared" si="15"/>
        <v>0</v>
      </c>
      <c r="FH23" s="108"/>
      <c r="FI23" s="108" t="str">
        <f t="shared" ref="FI23" si="196">IF(AND($F23="Hybrid - Thrust + 2 connections",FI24=0,LEFT($J23,1)="C",LEFT($K23,1)="C",LEFT($L23,1)="C"),"X","")</f>
        <v/>
      </c>
      <c r="FJ23" s="108"/>
      <c r="FL23" s="120" t="e">
        <f>IF(OR(LEFT(#REF!,2)="PL",LEFT(#REF!,2)="PL",LEFT(#REF!,2)="PL",LEFT(#REF!,2)="PL",LEFT(#REF!,2)="PL"),IF($BS$17-BR23&gt;$FL$17,"X",""),"")</f>
        <v>#REF!</v>
      </c>
      <c r="FM23" s="120"/>
      <c r="FN23" s="111" t="str">
        <f>IF(E24=3,_xlfn.NUMBERVALUE(LEFT(J23,1)),"")</f>
        <v/>
      </c>
    </row>
    <row r="24" spans="1:170" ht="12.75" x14ac:dyDescent="0.25">
      <c r="A24" s="40"/>
      <c r="B24" s="41"/>
      <c r="C24" s="41"/>
      <c r="D24" s="41"/>
      <c r="E24" s="21" t="str">
        <f>IF(F23="Acrobatic - Pair","PA",IF(F23="Acrobatic Airborn","A",IF(F23="Acrobatic Balance","B",IF(F23="Acrobatic Combined","C",IF(F23="Acrobatic Platform","P",IF(F23="Technical Required Element",3,IF(LEFT(F23,4)="Hybr","H","")))))))</f>
        <v/>
      </c>
      <c r="F24" s="21" t="str">
        <f>IF(AND(F23="Hybrid - Thrust + 2 connections",BU23="X"),"Hybrid - Thrust",IF(OR(E24="A",E24="B",E24="C",E24="P"),"Acrobatic",""))</f>
        <v/>
      </c>
      <c r="G24" s="43"/>
      <c r="H24" s="222" t="str">
        <f t="shared" ref="H24" si="197">IF(E24="PA",IF(OR(LEFT(J23,1)="L",LEFT(J23,1)="S"),"A-Pair-Lift",IF(OR(LEFT(J23,1)="W",LEFT(J23,1)="T"),"A-Pair-Throw",IF(LEFT(J23,1)="J","A-Pair-Jump","A-Pair"))),IF(OR(E24="A",E24="B",E24="C",E24="P"),CONCATENATE("Acro-",E24),""))</f>
        <v/>
      </c>
      <c r="I24" s="216" t="e">
        <f t="shared" ref="I24" si="198">IF(OR(F23="Hybrid - min 4 swimmers (no DD)",LEFT(F23,5)="Trans"),0,INDEX($BV$3:$BV$9,MATCH(E24,$BU$3:$BU$9,0)))</f>
        <v>#N/A</v>
      </c>
      <c r="J24" s="210">
        <f t="shared" ref="J24" ca="1" si="199">IFERROR(IF($H23="No DD",0,IF(OR(ISBLANK(J23),J23="N/A"),0,INDEX(INDIRECT(AV24),MATCH(J23,INDIRECT(AV23),0)))),0)</f>
        <v>0</v>
      </c>
      <c r="K24" s="210">
        <f t="shared" ref="K24" ca="1" si="200">IFERROR(IF($H23="No DD",0,IF(OR(ISBLANK(K23),K23="N/A"),0,INDEX(INDIRECT(AW24),MATCH(K23,INDIRECT(AW23),0)))),0)</f>
        <v>0</v>
      </c>
      <c r="L24" s="210">
        <f t="shared" ref="L24" ca="1" si="201">IFERROR(IF($H23="No DD",0,IF(OR(ISBLANK(L23),L23="N/A"),0,INDEX(INDIRECT(AX24),MATCH(L23,INDIRECT(AX23),0)))),0)</f>
        <v>0</v>
      </c>
      <c r="M24" s="210">
        <f t="shared" ref="M24" ca="1" si="202">IFERROR(IF($H23="No DD",0,IF(OR(ISBLANK(M23),M23="N/A"),0,INDEX(INDIRECT(AY24),MATCH(M23,INDIRECT(AY23),0)))),0)</f>
        <v>0</v>
      </c>
      <c r="N24" s="210">
        <f t="shared" ref="N24" ca="1" si="203">IFERROR(IF($H23="No DD",0,IF(OR(ISBLANK(N23),N23="N/A"),0,INDEX(INDIRECT(AZ24),MATCH(N23,INDIRECT(AZ23),0)))),0)</f>
        <v>0</v>
      </c>
      <c r="O24" s="210">
        <f t="shared" ref="O24" ca="1" si="204">IFERROR(IF($H23="No DD",0,IF(OR(ISBLANK(O23),O23="N/A"),0,INDEX(INDIRECT(BA24),MATCH(O23,INDIRECT(BA23),0)))),0)</f>
        <v>0</v>
      </c>
      <c r="P24" s="210">
        <f t="shared" ref="P24" ca="1" si="205">IFERROR(IF($H23="No DD",0,IF(OR(ISBLANK(P23),P23="N/A"),0,INDEX(INDIRECT(BB24),MATCH(P23,INDIRECT(BB23),0)))),0)</f>
        <v>0</v>
      </c>
      <c r="Q24" s="210">
        <f t="shared" ref="Q24" ca="1" si="206">IFERROR(IF($H23="No DD",0,IF(OR(ISBLANK(Q23),Q23="N/A"),0,INDEX(INDIRECT(BC24),MATCH(Q23,INDIRECT(BC23),0)))),0)</f>
        <v>0</v>
      </c>
      <c r="R24" s="210">
        <f t="shared" ref="R24" ca="1" si="207">IFERROR(IF($H23="No DD",0,IF(OR(ISBLANK(R23),R23="N/A"),0,INDEX(INDIRECT(BD24),MATCH(R23,INDIRECT(BD23),0)))),0)</f>
        <v>0</v>
      </c>
      <c r="S24" s="210">
        <f t="shared" ref="S24" ca="1" si="208">IFERROR(IF($H23="No DD",0,IF(OR(ISBLANK(S23),S23="N/A"),0,INDEX(INDIRECT(BE24),MATCH(S23,INDIRECT(BE23),0)))),0)</f>
        <v>0</v>
      </c>
      <c r="T24" s="210">
        <f t="shared" ref="T24" ca="1" si="209">IFERROR(IF($H23="No DD",0,IF(OR(ISBLANK(T23),T23="N/A"),0,INDEX(INDIRECT(BF24),MATCH(T23,INDIRECT(BF23),0)))),0)</f>
        <v>0</v>
      </c>
      <c r="U24" s="210">
        <f t="shared" ref="U24" ca="1" si="210">IFERROR(IF($H23="No DD",0,IF(OR(ISBLANK(U23),U23="N/A"),0,INDEX(INDIRECT(BG24),MATCH(U23,INDIRECT(BG23),0)))),0)</f>
        <v>0</v>
      </c>
      <c r="V24" s="210">
        <f t="shared" ref="V24" ca="1" si="211">IFERROR(IF($H23="No DD",0,IF(OR(ISBLANK(V23),V23="N/A"),0,INDEX(INDIRECT(BH24),MATCH(V23,INDIRECT(BH23),0)))),0)</f>
        <v>0</v>
      </c>
      <c r="W24" s="210">
        <f t="shared" ref="W24" ca="1" si="212">IFERROR(IF($H23="No DD",0,IF(OR(ISBLANK(W23),W23="N/A"),0,INDEX(INDIRECT(BI24),MATCH(W23,INDIRECT(BI23),0)))),0)</f>
        <v>0</v>
      </c>
      <c r="X24" s="210">
        <f t="shared" ref="X24" ca="1" si="213">IFERROR(IF($H23="No DD",0,IF(OR(ISBLANK(X23),X23="N/A"),0,INDEX(INDIRECT(BJ24),MATCH(X23,INDIRECT(BJ23),0)))),0)</f>
        <v>0</v>
      </c>
      <c r="Y24" s="210">
        <f t="shared" ref="Y24" ca="1" si="214">IFERROR(IF($H23="No DD",0,IF(OR(ISBLANK(Y23),Y23="N/A"),0,INDEX(INDIRECT(BK24),MATCH(Y23,INDIRECT(BK23),0)))),0)</f>
        <v>0</v>
      </c>
      <c r="Z24" s="210">
        <f t="shared" ref="Z24" ca="1" si="215">IFERROR(IF($H23="No DD",0,IF(OR(ISBLANK(Z23),Z23="N/A"),0,INDEX(INDIRECT(BL24),MATCH(Z23,INDIRECT(BL23),0)))),0)</f>
        <v>0</v>
      </c>
      <c r="AA24" s="210">
        <f t="shared" ref="AA24" ca="1" si="216">IFERROR(IF($H23="No DD",0,IF(OR(ISBLANK(AA23),AA23="N/A"),0,INDEX(INDIRECT(BM24),MATCH(AA23,INDIRECT(BM23),0)))),0)</f>
        <v>0</v>
      </c>
      <c r="AB24" s="210">
        <f t="shared" ref="AB24" ca="1" si="217">IFERROR(IF($H23="No DD",0,IF(OR(ISBLANK(AB23),AB23="N/A"),0,INDEX(INDIRECT(BN24),MATCH(AB23,INDIRECT(BN23),0)))),0)</f>
        <v>0</v>
      </c>
      <c r="AC24" s="210">
        <f t="shared" ref="AC24" ca="1" si="218">IFERROR(IF($H23="No DD",0,IF(OR(ISBLANK(AC23),AC23="N/A"),0,INDEX(INDIRECT(BO24),MATCH(AC23,INDIRECT(BO23),0)))),0)</f>
        <v>0</v>
      </c>
      <c r="AD24" s="211" t="str">
        <f>IFERROR(IF(E24="H",INDEX(HybridBonus_Value,MATCH(AD23,HybridBonus_Code,0)),""),"")</f>
        <v/>
      </c>
      <c r="AE24" s="209" t="str">
        <f t="shared" ref="AE24" si="219">IFERROR(IF(J23&lt;&gt;"",SUM(I24:AD24),""),"")</f>
        <v/>
      </c>
      <c r="AF24" s="76"/>
      <c r="AG24" s="76"/>
      <c r="AH24" s="121"/>
      <c r="AI24" s="121"/>
      <c r="AJ24" s="121"/>
      <c r="AK24" s="121"/>
      <c r="AL24" s="121"/>
      <c r="AM24" s="121"/>
      <c r="AN24" s="121"/>
      <c r="AO24" s="121"/>
      <c r="AP24" s="121"/>
      <c r="AQ24" s="121"/>
      <c r="AR24" s="121"/>
      <c r="AS24" s="121"/>
      <c r="AT24" s="110"/>
      <c r="AU24" s="121"/>
      <c r="AV24" s="111" t="str">
        <f t="shared" ref="AV24" si="220">IF($E24="H","HybridDD_Value",IF($E24=3,"TreDD_Value",IF($E24="PA","AcroPair_Value",IF(LEFT($F23,4)="Acro",CONCATENATE(AV$16,$E24,"_Value"),""))))</f>
        <v/>
      </c>
      <c r="AW24" s="111" t="str">
        <f t="shared" ref="AW24:AX24" si="221">IF($E24="H","HybridDD_Value",IF($E24=3,"",IF(LEFT($F23,4)="Acro",CONCATENATE(AW$16,$E24,"_Value"),IF($E24="PA","",""))))</f>
        <v/>
      </c>
      <c r="AX24" s="111" t="str">
        <f t="shared" si="221"/>
        <v/>
      </c>
      <c r="AY24" s="111" t="str">
        <f t="shared" ref="AY24:BD24" si="222">IF($E24="H","HybridDD_Value",IF($E24=3,"",IF(LEFT($F23,4)="Acro",CONCATENATE(AY$16,$E24,"_Value"),IF($E24="PA","",""))))</f>
        <v/>
      </c>
      <c r="AZ24" s="111" t="str">
        <f t="shared" si="222"/>
        <v/>
      </c>
      <c r="BA24" s="111" t="str">
        <f t="shared" si="222"/>
        <v/>
      </c>
      <c r="BB24" s="111" t="str">
        <f t="shared" si="222"/>
        <v/>
      </c>
      <c r="BC24" s="111" t="str">
        <f t="shared" si="222"/>
        <v/>
      </c>
      <c r="BD24" s="111" t="str">
        <f t="shared" si="222"/>
        <v/>
      </c>
      <c r="BE24" s="110" t="str">
        <f t="shared" ref="BE24" si="223">IF($E24="H","HybridDD_Value","Data!$BI$1:$BI$5")</f>
        <v>Data!$BI$1:$BI$5</v>
      </c>
      <c r="BF24" s="110" t="str">
        <f t="shared" si="7"/>
        <v>Data!$BI$1:$BI$5</v>
      </c>
      <c r="BG24" s="110" t="str">
        <f t="shared" si="7"/>
        <v>Data!$BI$1:$BI$5</v>
      </c>
      <c r="BH24" s="110" t="str">
        <f t="shared" si="7"/>
        <v>Data!$BI$1:$BI$5</v>
      </c>
      <c r="BI24" s="110" t="str">
        <f t="shared" si="7"/>
        <v>Data!$BI$1:$BI$5</v>
      </c>
      <c r="BJ24" s="110" t="str">
        <f t="shared" si="7"/>
        <v>Data!$BI$1:$BI$5</v>
      </c>
      <c r="BK24" s="110" t="str">
        <f t="shared" si="7"/>
        <v>Data!$BI$1:$BI$5</v>
      </c>
      <c r="BL24" s="110" t="str">
        <f t="shared" si="7"/>
        <v>Data!$BI$1:$BI$5</v>
      </c>
      <c r="BM24" s="110" t="str">
        <f t="shared" si="7"/>
        <v>Data!$BI$1:$BI$5</v>
      </c>
      <c r="BN24" s="110" t="str">
        <f t="shared" si="7"/>
        <v>Data!$BI$1:$BI$5</v>
      </c>
      <c r="BO24" s="110" t="str">
        <f t="shared" si="7"/>
        <v>Data!$BI$1:$BI$5</v>
      </c>
      <c r="BP24" s="121"/>
      <c r="BQ24" s="121"/>
      <c r="BR24" s="122" t="str">
        <f>IFERROR(IF(AND($BS$6="T",$BS$8="T",LEFT(F23,4)="Acro",AE24&gt;3),"X",IF($N$7="X",IF(AND(E24="C",AE24&gt;$CA$6),"X",IF(AND(E24="A",AE24&gt;$CA$4),"X",IF(AND(E24="B",AE24&gt;$CA$5),"X",IF(AND(E24="P",AE24&gt;$CA$7),"X","")))),"")),"")</f>
        <v/>
      </c>
      <c r="BS24" s="114"/>
      <c r="BU24" s="108"/>
      <c r="CA24" s="111"/>
      <c r="CB24" s="111"/>
      <c r="CC24" s="111"/>
      <c r="CG24" s="108" t="str">
        <f t="shared" si="9"/>
        <v/>
      </c>
      <c r="CH24" s="108" t="str">
        <f t="shared" si="10"/>
        <v/>
      </c>
      <c r="CI24" s="108" t="str">
        <f t="shared" si="11"/>
        <v/>
      </c>
      <c r="CJ24" s="108" t="str">
        <f t="shared" si="12"/>
        <v/>
      </c>
      <c r="CR24" s="108">
        <v>6</v>
      </c>
      <c r="DI24" s="108" t="str" cm="1">
        <f t="array" ref="DI24">IFERROR(INDEX(DK24:ED24,MATCH(TRUE,INDEX((DK24:ED24&lt;&gt;""),),0)),"")</f>
        <v/>
      </c>
      <c r="DK24" s="108" t="str">
        <f t="shared" ref="DK24" si="224">IF(F23="Hybrid - Thrust + 2 connections",IF(COUNTIF($DK23:$ED23,DK23)&gt;1,DK23,""),IF(COUNTIF($DK23:$ED23,DK23)&gt;5,DK23,""))</f>
        <v/>
      </c>
      <c r="DL24" s="108" t="str">
        <f t="shared" ref="DL24" si="225">IF(G23="Hybrid - Thrust + 2 connections",IF(COUNTIF($DK23:$ED23,DL23)&gt;1,DL23,""),IF(COUNTIF($DK23:$ED23,DL23)&gt;5,DL23,""))</f>
        <v/>
      </c>
      <c r="DM24" s="108" t="str">
        <f t="shared" ref="DM24" si="226">IF(H23="Hybrid - Thrust + 2 connections",IF(COUNTIF($DK23:$ED23,DM23)&gt;1,DM23,""),IF(COUNTIF($DK23:$ED23,DM23)&gt;5,DM23,""))</f>
        <v/>
      </c>
      <c r="DN24" s="108" t="str">
        <f t="shared" ref="DN24" si="227">IF(I23="Hybrid - Thrust + 2 connections",IF(COUNTIF($DK23:$ED23,DN23)&gt;1,DN23,""),IF(COUNTIF($DK23:$ED23,DN23)&gt;5,DN23,""))</f>
        <v/>
      </c>
      <c r="DO24" s="108" t="str">
        <f t="shared" ref="DO24" si="228">IF(J23="Hybrid - Thrust + 2 connections",IF(COUNTIF($DK23:$ED23,DO23)&gt;1,DO23,""),IF(COUNTIF($DK23:$ED23,DO23)&gt;5,DO23,""))</f>
        <v/>
      </c>
      <c r="DP24" s="108" t="str">
        <f t="shared" ref="DP24" si="229">IF(K23="Hybrid - Thrust + 2 connections",IF(COUNTIF($DK23:$ED23,DP23)&gt;1,DP23,""),IF(COUNTIF($DK23:$ED23,DP23)&gt;5,DP23,""))</f>
        <v/>
      </c>
      <c r="DQ24" s="108" t="str">
        <f t="shared" ref="DQ24" si="230">IF(L23="Hybrid - Thrust + 2 connections",IF(COUNTIF($DK23:$ED23,DQ23)&gt;1,DQ23,""),IF(COUNTIF($DK23:$ED23,DQ23)&gt;5,DQ23,""))</f>
        <v/>
      </c>
      <c r="DR24" s="108" t="str">
        <f t="shared" ref="DR24" si="231">IF(M23="Hybrid - Thrust + 2 connections",IF(COUNTIF($DK23:$ED23,DR23)&gt;1,DR23,""),IF(COUNTIF($DK23:$ED23,DR23)&gt;5,DR23,""))</f>
        <v/>
      </c>
      <c r="DS24" s="108" t="str">
        <f t="shared" ref="DS24" si="232">IF(N23="Hybrid - Thrust + 2 connections",IF(COUNTIF($DK23:$ED23,DS23)&gt;1,DS23,""),IF(COUNTIF($DK23:$ED23,DS23)&gt;5,DS23,""))</f>
        <v/>
      </c>
      <c r="DT24" s="108" t="str">
        <f t="shared" ref="DT24" si="233">IF(O23="Hybrid - Thrust + 2 connections",IF(COUNTIF($DK23:$ED23,DT23)&gt;1,DT23,""),IF(COUNTIF($DK23:$ED23,DT23)&gt;5,DT23,""))</f>
        <v/>
      </c>
      <c r="DU24" s="108" t="str">
        <f t="shared" ref="DU24" si="234">IF(P23="Hybrid - Thrust + 2 connections",IF(COUNTIF($DK23:$ED23,DU23)&gt;1,DU23,""),IF(COUNTIF($DK23:$ED23,DU23)&gt;5,DU23,""))</f>
        <v/>
      </c>
      <c r="DV24" s="108" t="str">
        <f t="shared" ref="DV24" si="235">IF(Q23="Hybrid - Thrust + 2 connections",IF(COUNTIF($DK23:$ED23,DV23)&gt;1,DV23,""),IF(COUNTIF($DK23:$ED23,DV23)&gt;5,DV23,""))</f>
        <v/>
      </c>
      <c r="DW24" s="108" t="str">
        <f t="shared" ref="DW24" si="236">IF(R23="Hybrid - Thrust + 2 connections",IF(COUNTIF($DK23:$ED23,DW23)&gt;1,DW23,""),IF(COUNTIF($DK23:$ED23,DW23)&gt;5,DW23,""))</f>
        <v/>
      </c>
      <c r="DX24" s="108" t="str">
        <f t="shared" ref="DX24" si="237">IF(S23="Hybrid - Thrust + 2 connections",IF(COUNTIF($DK23:$ED23,DX23)&gt;1,DX23,""),IF(COUNTIF($DK23:$ED23,DX23)&gt;5,DX23,""))</f>
        <v/>
      </c>
      <c r="DY24" s="108" t="str">
        <f t="shared" ref="DY24" si="238">IF(T23="Hybrid - Thrust + 2 connections",IF(COUNTIF($DK23:$ED23,DY23)&gt;1,DY23,""),IF(COUNTIF($DK23:$ED23,DY23)&gt;5,DY23,""))</f>
        <v/>
      </c>
      <c r="DZ24" s="108" t="str">
        <f t="shared" ref="DZ24" si="239">IF(U23="Hybrid - Thrust + 2 connections",IF(COUNTIF($DK23:$ED23,DZ23)&gt;1,DZ23,""),IF(COUNTIF($DK23:$ED23,DZ23)&gt;5,DZ23,""))</f>
        <v/>
      </c>
      <c r="EA24" s="108" t="str">
        <f t="shared" ref="EA24" si="240">IF(V23="Hybrid - Thrust + 2 connections",IF(COUNTIF($DK23:$ED23,EA23)&gt;1,EA23,""),IF(COUNTIF($DK23:$ED23,EA23)&gt;5,EA23,""))</f>
        <v/>
      </c>
      <c r="EB24" s="108" t="str">
        <f t="shared" ref="EB24" si="241">IF(W23="Hybrid - Thrust + 2 connections",IF(COUNTIF($DK23:$ED23,EB23)&gt;1,EB23,""),IF(COUNTIF($DK23:$ED23,EB23)&gt;5,EB23,""))</f>
        <v/>
      </c>
      <c r="EC24" s="108" t="str">
        <f t="shared" ref="EC24" si="242">IF(X23="Hybrid - Thrust + 2 connections",IF(COUNTIF($DK23:$ED23,EC23)&gt;1,EC23,""),IF(COUNTIF($DK23:$ED23,EC23)&gt;5,EC23,""))</f>
        <v/>
      </c>
      <c r="ED24" s="108" t="str">
        <f t="shared" ref="ED24" si="243">IF(Y23="Hybrid - Thrust + 2 connections",IF(COUNTIF($DK23:$ED23,ED23)&gt;1,ED23,""),IF(COUNTIF($DK23:$ED23,ED23)&gt;5,ED23,""))</f>
        <v/>
      </c>
      <c r="EE24" s="108"/>
      <c r="EF24" s="108" t="str" cm="1">
        <f t="array" ref="EF24">IFERROR(INDEX(EG24:EZ24,MATCH(TRUE,INDEX((EG24:EZ24&lt;&gt;""),),0)),"")</f>
        <v/>
      </c>
      <c r="EG24" s="108" t="str">
        <f t="shared" ref="EG24" si="244">IF(COUNTIF($EG23:$EZ23,EG23)&gt;3,EG23,"")</f>
        <v/>
      </c>
      <c r="EH24" s="108" t="str">
        <f t="shared" ref="EH24" si="245">IF(COUNTIF($EG23:$EZ23,EH23)&gt;3,EH23,"")</f>
        <v/>
      </c>
      <c r="EI24" s="108" t="str">
        <f t="shared" ref="EI24" si="246">IF(COUNTIF($EG23:$EZ23,EI23)&gt;3,EI23,"")</f>
        <v/>
      </c>
      <c r="EJ24" s="108" t="str">
        <f t="shared" ref="EJ24" si="247">IF(COUNTIF($EG23:$EZ23,EJ23)&gt;3,EJ23,"")</f>
        <v/>
      </c>
      <c r="EK24" s="108" t="str">
        <f t="shared" ref="EK24" si="248">IF(COUNTIF($EG23:$EZ23,EK23)&gt;3,EK23,"")</f>
        <v/>
      </c>
      <c r="EL24" s="108" t="str">
        <f t="shared" ref="EL24" si="249">IF(COUNTIF($EG23:$EZ23,EL23)&gt;3,EL23,"")</f>
        <v/>
      </c>
      <c r="EM24" s="108" t="str">
        <f t="shared" ref="EM24" si="250">IF(COUNTIF($EG23:$EZ23,EM23)&gt;3,EM23,"")</f>
        <v/>
      </c>
      <c r="EN24" s="108" t="str">
        <f t="shared" ref="EN24" si="251">IF(COUNTIF($EG23:$EZ23,EN23)&gt;3,EN23,"")</f>
        <v/>
      </c>
      <c r="EO24" s="108" t="str">
        <f t="shared" ref="EO24" si="252">IF(COUNTIF($EG23:$EZ23,EO23)&gt;3,EO23,"")</f>
        <v/>
      </c>
      <c r="EP24" s="108" t="str">
        <f t="shared" ref="EP24" si="253">IF(COUNTIF($EG23:$EZ23,EP23)&gt;3,EP23,"")</f>
        <v/>
      </c>
      <c r="EQ24" s="108" t="str">
        <f t="shared" ref="EQ24" si="254">IF(COUNTIF($EG23:$EZ23,EQ23)&gt;3,EQ23,"")</f>
        <v/>
      </c>
      <c r="ER24" s="108" t="str">
        <f t="shared" ref="ER24" si="255">IF(COUNTIF($EG23:$EZ23,ER23)&gt;3,ER23,"")</f>
        <v/>
      </c>
      <c r="ES24" s="108" t="str">
        <f t="shared" ref="ES24" si="256">IF(COUNTIF($EG23:$EZ23,ES23)&gt;3,ES23,"")</f>
        <v/>
      </c>
      <c r="ET24" s="108" t="str">
        <f t="shared" ref="ET24" si="257">IF(COUNTIF($EG23:$EZ23,ET23)&gt;3,ET23,"")</f>
        <v/>
      </c>
      <c r="EU24" s="108" t="str">
        <f t="shared" ref="EU24" si="258">IF(COUNTIF($EG23:$EZ23,EU23)&gt;3,EU23,"")</f>
        <v/>
      </c>
      <c r="EV24" s="108" t="str">
        <f t="shared" ref="EV24" si="259">IF(COUNTIF($EG23:$EZ23,EV23)&gt;3,EV23,"")</f>
        <v/>
      </c>
      <c r="EW24" s="108" t="str">
        <f t="shared" ref="EW24" si="260">IF(COUNTIF($EG23:$EZ23,EW23)&gt;3,EW23,"")</f>
        <v/>
      </c>
      <c r="EX24" s="108" t="str">
        <f t="shared" ref="EX24" si="261">IF(COUNTIF($EG23:$EZ23,EX23)&gt;3,EX23,"")</f>
        <v/>
      </c>
      <c r="EY24" s="108" t="str">
        <f t="shared" ref="EY24" si="262">IF(COUNTIF($EG23:$EZ23,EY23)&gt;3,EY23,"")</f>
        <v/>
      </c>
      <c r="EZ24" s="108" t="str">
        <f t="shared" ref="EZ24" si="263">IF(COUNTIF($EG23:$EZ23,EZ23)&gt;3,EZ23,"")</f>
        <v/>
      </c>
      <c r="FA24" s="108"/>
      <c r="FB24" s="108"/>
      <c r="FC24" s="108"/>
      <c r="FD24" s="108"/>
      <c r="FE24" s="108"/>
      <c r="FF24" s="108"/>
      <c r="FG24" s="108"/>
      <c r="FH24" s="108"/>
      <c r="FI24" s="108" t="str">
        <f t="shared" ref="FI24" si="264">IF($F23="Hybrid - Thrust + 2 connections",COUNTBLANK(J23:L23),"")</f>
        <v/>
      </c>
      <c r="FJ24" s="108"/>
      <c r="FN24" s="111"/>
    </row>
    <row r="25" spans="1:170" ht="12.75" x14ac:dyDescent="0.25">
      <c r="A25" s="40" t="str">
        <f>IF(AND(E23="",A23&lt;&gt;""),IF(BS23=$BS$18,"",IF(C23&lt;&gt;"",IF(D23=59,MINUTE(BS23)+1,MINUTE(BS23)),"")),"")</f>
        <v/>
      </c>
      <c r="B25" s="41" t="str">
        <f>IF(AND(E23="",B23&lt;&gt;""),IF(BS23=$BS$18,"",IF(C23&lt;&gt;"",IF(D23=59,0,SECOND(BS23)+1),"")),"")</f>
        <v/>
      </c>
      <c r="C25" s="51"/>
      <c r="D25" s="51"/>
      <c r="E25" s="9"/>
      <c r="F25" s="52"/>
      <c r="G25" s="43" t="str">
        <f>IF(F25&lt;&gt;"",IF(OR(F25="Transition",F25="Transition - Surface Connection"),0,MAX($G$19:G24)+1),"")</f>
        <v/>
      </c>
      <c r="H25" s="57" t="str">
        <f t="shared" ref="H25" si="265">IFERROR(IF(E26="3","",IF(OR(F25="Hybrid - min 4 swimmers (no DD)",LEFT(F25,5)="Trans"),"No DD",CONCATENATE("BM = ",I26))),"")</f>
        <v/>
      </c>
      <c r="I25" s="58"/>
      <c r="J25" s="130"/>
      <c r="K25" s="137"/>
      <c r="L25" s="137"/>
      <c r="M25" s="137"/>
      <c r="N25" s="137"/>
      <c r="O25" s="137"/>
      <c r="P25" s="137"/>
      <c r="Q25" s="137"/>
      <c r="R25" s="137"/>
      <c r="S25" s="137"/>
      <c r="T25" s="137"/>
      <c r="U25" s="137"/>
      <c r="V25" s="137"/>
      <c r="W25" s="137"/>
      <c r="X25" s="137"/>
      <c r="Y25" s="137"/>
      <c r="Z25" s="137"/>
      <c r="AA25" s="137"/>
      <c r="AB25" s="137"/>
      <c r="AC25" s="137"/>
      <c r="AD25" s="191"/>
      <c r="AE25" s="44"/>
      <c r="AF25" s="75"/>
      <c r="AG25" s="75"/>
      <c r="AH25" s="110"/>
      <c r="AI25" s="110"/>
      <c r="AJ25" s="110"/>
      <c r="AK25" s="110"/>
      <c r="AL25" s="110"/>
      <c r="AM25" s="110"/>
      <c r="AN25" s="110"/>
      <c r="AO25" s="110"/>
      <c r="AP25" s="110"/>
      <c r="AQ25" s="110"/>
      <c r="AR25" s="110"/>
      <c r="AS25" s="110"/>
      <c r="AT25" s="110" t="str">
        <f>IFERROR(IF(F25&lt;&gt;"",INDEX(Parts_Active,MATCH(F25,Parts_Active,0)),""),"No")</f>
        <v/>
      </c>
      <c r="AU25" s="110"/>
      <c r="AV25" s="110" t="str">
        <f t="shared" ref="AV25" si="266">IF($E26="H",IF($F25="Hybrid - Thrust + 2 connections","Hybrid_Mix_Req","HybridDD_Code"),IF($E26=3,"TreDD_Code",IF($E26="PA","AcroPair_Code",IF(LEFT($F25,4)="Acro",CONCATENATE(AV$16,$E26,"_Code"),"Data!$BI$1:$BI$5"))))</f>
        <v>Data!$BI$1:$BI$5</v>
      </c>
      <c r="AW25" s="110" t="str">
        <f t="shared" ref="AW25" si="267">IF($E26="H",IF($F25="Hybrid - Thrust + 2 connections","Hybrid_Mix_Req","HybridDD_Code"),IF($E26=3,"TreDD_Code",IF($E26="PA","AcroPair_Code",IF(LEFT($F25,4)="Acro",CONCATENATE(AW$16,$E26,"_Code"),"Data!$BI$1:$BI$5"))))</f>
        <v>Data!$BI$1:$BI$5</v>
      </c>
      <c r="AX25" s="110" t="str">
        <f t="shared" ref="AX25" si="268">IF($E26="H",IF($F25="Hybrid - Thrust + 2 connections","Hybrid_Mix_Req","HybridDD_Code"),IF($E26=3,"TreDD_Code",IF($E26="PA","AcroPair_Code",IF(LEFT($F25,4)="Acro",CONCATENATE(AX$16,$E26,"_Code"),"Data!$BI$1:$BI$5"))))</f>
        <v>Data!$BI$1:$BI$5</v>
      </c>
      <c r="AY25" s="110" t="str">
        <f t="shared" ref="AY25" si="269">IF($E26="H",IF($F25="Hybrid - Thrust + 2 connections","Data!$BI$1:$BI$5","HybridDD_Code"),IF($E26=3,"Data!$BI$1:$BI$5",IF(LEFT($F25,4)="Acro",CONCATENATE(AY$16,$E26,"_Code"),IF($E26="PA","","Data!$BI$1:$BI$5"))))</f>
        <v>Data!$BI$1:$BI$5</v>
      </c>
      <c r="AZ25" s="110" t="str">
        <f t="shared" ref="AZ25" si="270">IF($E26="H",IF($F25="Hybrid - Thrust + 2 connections","Data!$BI$1:$BI$5","HybridDD_Code"),IF($E26=3,"Data!$BI$1:$BI$5",IF(LEFT($F25,4)="Acro",CONCATENATE(AZ$16,$E26,"_Code"),IF($E26="PA","","Data!$BI$1:$BI$5"))))</f>
        <v>Data!$BI$1:$BI$5</v>
      </c>
      <c r="BA25" s="110" t="str">
        <f t="shared" ref="BA25" si="271">IF($E26="H",IF($F25="Hybrid - Thrust + 2 connections","Data!$BI$1:$BI$5","HybridDD_Code"),IF($E26=3,"Data!$BI$1:$BI$5",IF(LEFT($F25,4)="Acro",CONCATENATE(BA$16,$E26,"_Code"),IF($E26="PA","","Data!$BI$1:$BI$5"))))</f>
        <v>Data!$BI$1:$BI$5</v>
      </c>
      <c r="BB25" s="110" t="str">
        <f t="shared" ref="BB25" si="272">IF($E26="H",IF($F25="Hybrid - Thrust + 2 connections","Data!$BI$1:$BI$5","HybridDD_Code"),IF($E26=3,"Data!$BI$1:$BI$5",IF(LEFT($F25,4)="Acro",CONCATENATE(BB$16,$E26,"_Code"),IF($E26="PA","","Data!$BI$1:$BI$5"))))</f>
        <v>Data!$BI$1:$BI$5</v>
      </c>
      <c r="BC25" s="110" t="str">
        <f t="shared" ref="BC25" si="273">IF($E26="H",IF($F25="Hybrid - Thrust + 2 connections","Data!$BI$1:$BI$5","HybridDD_Code"),IF($E26=3,"Data!$BI$1:$BI$5",IF(LEFT($F25,4)="Acro",CONCATENATE(BC$16,$E26,"_Code"),IF($E26="PA","","Data!$BI$1:$BI$5"))))</f>
        <v>Data!$BI$1:$BI$5</v>
      </c>
      <c r="BD25" s="110" t="str">
        <f t="shared" ref="BD25" si="274">IF($E26="H",IF($F25="Hybrid - Thrust + 2 connections","Data!$BI$1:$BI$5","HybridDD_Code"),IF($E26=3,"Data!$BI$1:$BI$5",IF(LEFT($F25,4)="Acro",CONCATENATE(BD$16,$E26,"_Code"),IF($E26="PA","","Data!$BI$1:$BI$5"))))</f>
        <v>Data!$BI$1:$BI$5</v>
      </c>
      <c r="BE25" s="110" t="str">
        <f t="shared" ref="BE25" si="275">IF($E26="H",IF($F25="Hybrid - Thrust + 2 connections","Data!$BI$1:$BI$5","HybridDD_Code"),"Data!$BI$1:$BI$5")</f>
        <v>Data!$BI$1:$BI$5</v>
      </c>
      <c r="BF25" s="110" t="str">
        <f t="shared" si="7"/>
        <v>Data!$BI$1:$BI$5</v>
      </c>
      <c r="BG25" s="110" t="str">
        <f t="shared" si="7"/>
        <v>Data!$BI$1:$BI$5</v>
      </c>
      <c r="BH25" s="110" t="str">
        <f t="shared" si="7"/>
        <v>Data!$BI$1:$BI$5</v>
      </c>
      <c r="BI25" s="110" t="str">
        <f t="shared" si="7"/>
        <v>Data!$BI$1:$BI$5</v>
      </c>
      <c r="BJ25" s="110" t="str">
        <f t="shared" si="7"/>
        <v>Data!$BI$1:$BI$5</v>
      </c>
      <c r="BK25" s="110" t="str">
        <f t="shared" si="7"/>
        <v>Data!$BI$1:$BI$5</v>
      </c>
      <c r="BL25" s="110" t="str">
        <f t="shared" si="7"/>
        <v>Data!$BI$1:$BI$5</v>
      </c>
      <c r="BM25" s="110" t="str">
        <f t="shared" si="7"/>
        <v>Data!$BI$1:$BI$5</v>
      </c>
      <c r="BN25" s="110" t="str">
        <f t="shared" si="7"/>
        <v>Data!$BI$1:$BI$5</v>
      </c>
      <c r="BO25" s="110" t="str">
        <f t="shared" si="7"/>
        <v>Data!$BI$1:$BI$5</v>
      </c>
      <c r="BP25" s="110"/>
      <c r="BQ25" s="110"/>
      <c r="BR25" s="113" t="str">
        <f t="shared" ref="BR25" si="276">IFERROR(TIME(0,A25,B25),"")</f>
        <v/>
      </c>
      <c r="BS25" s="114">
        <f>IFERROR(TIME(0,C25,D25),"")</f>
        <v>0</v>
      </c>
      <c r="BT25" s="114" t="str">
        <f t="shared" ref="BT25" si="277">IF(BS25&gt;$D$12,"X","")</f>
        <v/>
      </c>
      <c r="BU25" s="108" t="str">
        <f>IF(AND(F25="Hybrid - Thrust + 2 connections",OR(LEFT(J25,1)="T",LEFT(K25,1)="T",LEFT(L25,1)="T",LEFT(NG25,1)="T",LEFT(M25,1)="T",LEFT(N25,1)="T",LEFT(O25,1)="T",LEFT(P25,1)="T",LEFT(Q25,1)="T",LEFT(R25,1)="T",LEFT(S25,1)="T",LEFT(T25,1)="T",LEFT(U25,1)="T",LEFT(V25,1)="T",LEFT(W25,1)="T",LEFT(X25,1)="T",LEFT(AA25,1)="T",LEFT(AB25,1)="T",LEFT(AC25,1)="T")),IF(OR(LEN(J25)=2,LEN(K25)=2,LEN(L25)=2,LEN(M25)=2,LEN(N25)=2,LEN(O25)=2,LEN(P25)=2,LEN(Q25)=2,LEN(R25)=2,LEN(S25)=2,LEN(T25)=2,LEN(U25)=2,LEN(V25)=2,LEN(W25)=2,LEN(X25)=2,LEN(Y25)=2,LEN(Z25)=2,LEN(AA25)=2,LEN(AB25)=2,LEN(AC25)=2),"X",""),"")</f>
        <v/>
      </c>
      <c r="BW25" s="108" t="str">
        <f>IF(LEFT(F25,4)="Acro",IF(AND(N25&lt;&gt;"",M25=RIGHT(N25,2)),"X","OK"),"")</f>
        <v/>
      </c>
      <c r="BX25" s="110" t="str">
        <f t="shared" ref="BX25:CE25" si="278">IFERROR(IF(AND(LEFT($F25,4)="Acro",INDEX(Requ_App,MATCH(AV25,Requ_Code,0))="No"),"X",""),"")</f>
        <v/>
      </c>
      <c r="BY25" s="110" t="str">
        <f t="shared" si="278"/>
        <v/>
      </c>
      <c r="BZ25" s="110" t="str">
        <f t="shared" si="278"/>
        <v/>
      </c>
      <c r="CA25" s="110" t="str">
        <f t="shared" si="278"/>
        <v/>
      </c>
      <c r="CB25" s="110" t="str">
        <f t="shared" si="278"/>
        <v/>
      </c>
      <c r="CC25" s="110" t="str">
        <f t="shared" si="278"/>
        <v/>
      </c>
      <c r="CD25" s="110" t="str">
        <f t="shared" si="278"/>
        <v/>
      </c>
      <c r="CE25" s="110" t="str">
        <f t="shared" si="278"/>
        <v/>
      </c>
      <c r="CF25" s="110" t="str">
        <f>IFERROR(IF(AND(LEFT($F25,4)="Acro",INDEX(Requ_App,MATCH(BC25,Requ_Code,0))="No"),"X",""),"")</f>
        <v/>
      </c>
      <c r="CG25" s="108" t="str">
        <f t="shared" si="9"/>
        <v/>
      </c>
      <c r="CH25" s="108" t="str">
        <f t="shared" si="10"/>
        <v/>
      </c>
      <c r="CI25" s="108" t="str">
        <f t="shared" si="11"/>
        <v/>
      </c>
      <c r="CJ25" s="108" t="str">
        <f t="shared" si="12"/>
        <v/>
      </c>
      <c r="CN25" s="108">
        <f t="shared" ref="CN25" si="279">IF(AND(E26="A",OR(Q25="Grip",Q25="Conn",Q25="Catch")),"A1",IF(AND(E26="A",OR(Q25="Hula",Q25="RetSq",Q25="RetPa")),"A2",IF(AND(E26="B",OR(Q25="Twirl",Q25="RotF")),"B1",IF(AND(E26="B",OR(Q25="Moon",Q25="Mov")),"B2",IF(AND(E26="B",Q25="Hold"),"B3",IF(AND(E26="P",OR(Q25="Porp",Q25="Spitch")),"P1",IF(AND(E26="P",OR(Q25="Dive",Q25="Ps1",Q25="Ps1t0.5",Q25="Ps1op",Q25="Ps1t0,5o",Q25="Ps1t1",Q25="CH+")),"P2",IF(AND(E26="P",OR(Q25="Spider",Q25="Climb")),"P3",IF(AND(E26="P",OR(Q25="Fall",Q25="FTurn")),"P4",IF(AND(E26="C",OR(Q25="Jump",Q25="Jump&gt;",Q25="On1Foot",Q25="1F&gt;1F")),"C1",IF(AND(E26="C",OR(Q25="Run",Q25="BRun")),"C2",1)))))))))))</f>
        <v>1</v>
      </c>
      <c r="CO25" s="108">
        <f t="shared" ref="CO25" si="280">IF(AND(E26="A",OR(R25="Grip",R25="Conn",R25="Catch")),"A1",IF(AND(E26="A",OR(R25="Hula",R25="RetSq",R25="RetPa")),"A2",IF(AND(E26="B",OR(R25="Twirl",R25="RotF")),"B1",IF(AND(E26="B",OR(R25="Moon",R25="Mov")),"B3",IF(AND(E26="B",R25="Hold"),"B2",IF(AND(E26="P",OR(R25="Porp",R25="Spitch")),"P1",IF(AND(E26="P",OR(R25="Dive",R25="Ps1",R25="Ps1t0.5",R25="Ps1op",R25="Ps1t0,5o",R25="Ps1t1",R25="CH+")),"P2",IF(AND(E26="P",OR(R25="Spider",R25="Climb")),"P3",IF(AND(E26="P",OR(R25="Fall",R25="FTurn")),"P4",IF(AND(E26="C",OR(R25="Jump",R25="Jump&gt;",R25="On1Foot",R25="1F&gt;1F")),"C1",IF(AND(E26="C",OR(R25="Run",R25="BRun")),"C2",2)))))))))))</f>
        <v>2</v>
      </c>
      <c r="CP25" s="108" t="str">
        <f t="shared" ref="CP25" si="281">IF(AND(LEFT(F25,4)="Acro",Q25&lt;&gt;"",OR(Q25=R25,CN25=CO25)),IF(R25="C-Roll","","X"),IF(OR(AND(E26="A",Q25="Catch",R25&lt;&gt;"Dbl"),AND(E26="A",R25="Catch",Q25&lt;&gt;"Dbl")),"X",""))</f>
        <v/>
      </c>
      <c r="CQ25" s="108" t="str">
        <f t="shared" ref="CQ25" si="282">IF(E26="PA",J25,"")</f>
        <v/>
      </c>
      <c r="CR25" s="108">
        <v>7</v>
      </c>
      <c r="CT25" s="108" t="str">
        <f t="shared" ref="CT25" si="283">IF(AND($E26="A",COUNTIF($DC$19:$DD$68,DC25)&gt;1),DC25,"")</f>
        <v/>
      </c>
      <c r="CU25" s="108" t="str">
        <f t="shared" ref="CU25" si="284">IF(AND($E26="A",COUNTIF($DC$19:$DD$68,DD25)&gt;1),DD25,"")</f>
        <v/>
      </c>
      <c r="CV25" s="108" t="str">
        <f t="shared" ref="CV25" ca="1" si="285">IF(AND($E26="B",COUNTIF($J$19:$J$68,J25)&gt;1),J25,"")</f>
        <v/>
      </c>
      <c r="CW25" s="108" t="str">
        <f t="shared" ref="CW25" ca="1" si="286">IF(AND($E26="B",COUNTIF($K$19:$K$68,K25)&gt;1),K25,"")</f>
        <v/>
      </c>
      <c r="CX25" s="108" t="str">
        <f t="shared" ref="CX25" ca="1" si="287">IF(AND($E26="C",COUNTIF($J$19:$J$68,J25)&gt;1),J25,"")</f>
        <v/>
      </c>
      <c r="CY25" s="108" t="str">
        <f t="shared" ref="CY25" ca="1" si="288">IF(AND($E26="P",COUNTIF($J$19:$J$68,J25)&gt;1),J25,"")</f>
        <v/>
      </c>
      <c r="CZ25" s="108" t="str">
        <f t="shared" ref="CZ25" ca="1" si="289">IF(AND($E26="P",COUNTIF($K$19:$K$68,K25)&gt;1),K25,"")</f>
        <v/>
      </c>
      <c r="DA25" s="108" t="str">
        <f t="shared" ref="DA25" si="290">IF(AND($E26="P",COUNTIF($DC$19:$DD$68,DC25)&gt;1),DC25,"")</f>
        <v/>
      </c>
      <c r="DB25" s="108" t="str">
        <f t="shared" ref="DB25" si="291">IF(AND($E26="P",COUNTIF($DC$19:$DD$68,DD25)&gt;1),DD25,"")</f>
        <v/>
      </c>
      <c r="DC25" s="108" t="str">
        <f t="shared" ref="DC25" si="292">IFERROR(IF(OR(E26="A",E26="P"),M25,""),"")</f>
        <v/>
      </c>
      <c r="DD25" s="108" t="str">
        <f t="shared" ref="DD25" si="293">IFERROR(IF(OR(E26="A",E26="P"),RIGHT(N25,2),""),"")</f>
        <v/>
      </c>
      <c r="DF25" s="108" t="str">
        <f t="shared" ref="DF25" si="294">IF(AND($F$8="Open Team Acrobatic",LEFT(F25,4)="Acro"),E26,"")</f>
        <v/>
      </c>
      <c r="DG25" s="108" t="str">
        <f t="shared" ref="DG25" si="295">IFERROR(IF(HLOOKUP(DF25,$DD$12:$DG$13,2,FALSE)&gt;2,"X",""),"")</f>
        <v/>
      </c>
      <c r="DI25" s="108" t="str">
        <f t="shared" ref="DI25" si="296">IF(OR(AND(F25="Hybrid - Thrust + 2 connections",DI26="T"),AND(F25="Hybrid - Free",DI26&lt;&gt;"")),"X","")</f>
        <v/>
      </c>
      <c r="DK25" s="108">
        <f t="shared" ref="DK25" si="297">IFERROR(IF(AND($E26="H",J25&lt;&gt;""),IF(OR(LEFT(J25,1)="T",LEFT(J25,1)="S",LEFT(J25,1)="A",LEFT(J25,1)="F",LEFT(J25,1)="C"),LEFT(J25,1),"R"),DK$18),"")</f>
        <v>1</v>
      </c>
      <c r="DL25" s="108">
        <f t="shared" ref="DL25" si="298">IFERROR(IF(AND($E26="H",K25&lt;&gt;""),IF(OR(LEFT(K25,1)="T",LEFT(K25,1)="S",LEFT(K25,1)="A",LEFT(K25,1)="F",LEFT(K25,1)="C"),LEFT(K25,1),"R"),DL$18),"")</f>
        <v>2</v>
      </c>
      <c r="DM25" s="108">
        <f t="shared" ref="DM25" si="299">IFERROR(IF(AND($E26="H",L25&lt;&gt;""),IF(OR(LEFT(L25,1)="T",LEFT(L25,1)="S",LEFT(L25,1)="A",LEFT(L25,1)="F",LEFT(L25,1)="C"),LEFT(L25,1),"R"),DM$18),"")</f>
        <v>3</v>
      </c>
      <c r="DN25" s="108">
        <f t="shared" ref="DN25" si="300">IFERROR(IF(AND($E26="H",M25&lt;&gt;""),IF(OR(LEFT(M25,1)="T",LEFT(M25,1)="S",LEFT(M25,1)="A",LEFT(M25,1)="F",LEFT(M25,1)="C"),LEFT(M25,1),"R"),DN$18),"")</f>
        <v>4</v>
      </c>
      <c r="DO25" s="108">
        <f t="shared" ref="DO25" si="301">IFERROR(IF(AND($E26="H",N25&lt;&gt;""),IF(OR(LEFT(N25,1)="T",LEFT(N25,1)="S",LEFT(N25,1)="A",LEFT(N25,1)="F",LEFT(N25,1)="C"),LEFT(N25,1),"R"),DO$18),"")</f>
        <v>5</v>
      </c>
      <c r="DP25" s="108">
        <f t="shared" ref="DP25" si="302">IFERROR(IF(AND($E26="H",O25&lt;&gt;""),IF(OR(LEFT(O25,1)="T",LEFT(O25,1)="S",LEFT(O25,1)="A",LEFT(O25,1)="F",LEFT(O25,1)="C"),LEFT(O25,1),"R"),DP$18),"")</f>
        <v>6</v>
      </c>
      <c r="DQ25" s="108">
        <f t="shared" ref="DQ25" si="303">IFERROR(IF(AND($E26="H",P25&lt;&gt;""),IF(OR(LEFT(P25,1)="T",LEFT(P25,1)="S",LEFT(P25,1)="A",LEFT(P25,1)="F",LEFT(P25,1)="C"),LEFT(P25,1),"R"),DQ$18),"")</f>
        <v>7</v>
      </c>
      <c r="DR25" s="108">
        <f t="shared" ref="DR25" si="304">IFERROR(IF(AND($E26="H",Q25&lt;&gt;""),IF(OR(LEFT(Q25,1)="T",LEFT(Q25,1)="S",LEFT(Q25,1)="A",LEFT(Q25,1)="F",LEFT(Q25,1)="C"),LEFT(Q25,1),"R"),DR$18),"")</f>
        <v>8</v>
      </c>
      <c r="DS25" s="108">
        <f t="shared" ref="DS25" si="305">IFERROR(IF(AND($E26="H",R25&lt;&gt;""),IF(OR(LEFT(R25,1)="T",LEFT(R25,1)="S",LEFT(R25,1)="A",LEFT(R25,1)="F",LEFT(R25,1)="C"),LEFT(R25,1),"R"),DS$18),"")</f>
        <v>9</v>
      </c>
      <c r="DT25" s="108">
        <f t="shared" ref="DT25" si="306">IFERROR(IF(AND($E26="H",S25&lt;&gt;""),IF(OR(LEFT(S25,1)="T",LEFT(S25,1)="S",LEFT(S25,1)="A",LEFT(S25,1)="F",LEFT(S25,1)="C"),LEFT(S25,1),"R"),DT$18),"")</f>
        <v>10</v>
      </c>
      <c r="DU25" s="108">
        <f t="shared" ref="DU25" si="307">IFERROR(IF(AND($E26="H",T25&lt;&gt;""),IF(OR(LEFT(T25,1)="T",LEFT(T25,1)="S",LEFT(T25,1)="A",LEFT(T25,1)="F",LEFT(T25,1)="C"),LEFT(T25,1),"R"),DU$18),"")</f>
        <v>11</v>
      </c>
      <c r="DV25" s="108">
        <f t="shared" ref="DV25" si="308">IFERROR(IF(AND($E26="H",U25&lt;&gt;""),IF(OR(LEFT(U25,1)="T",LEFT(U25,1)="S",LEFT(U25,1)="A",LEFT(U25,1)="F",LEFT(U25,1)="C"),LEFT(U25,1),"R"),DV$18),"")</f>
        <v>12</v>
      </c>
      <c r="DW25" s="108">
        <f t="shared" ref="DW25" si="309">IFERROR(IF(AND($E26="H",V25&lt;&gt;""),IF(OR(LEFT(V25,1)="T",LEFT(V25,1)="S",LEFT(V25,1)="A",LEFT(V25,1)="F",LEFT(V25,1)="C"),LEFT(V25,1),"R"),DW$18),"")</f>
        <v>13</v>
      </c>
      <c r="DX25" s="108">
        <f t="shared" ref="DX25" si="310">IFERROR(IF(AND($E26="H",W25&lt;&gt;""),IF(OR(LEFT(W25,1)="T",LEFT(W25,1)="S",LEFT(W25,1)="A",LEFT(W25,1)="F",LEFT(W25,1)="C"),LEFT(W25,1),"R"),DX$18),"")</f>
        <v>14</v>
      </c>
      <c r="DY25" s="108">
        <f t="shared" ref="DY25" si="311">IFERROR(IF(AND($E26="H",X25&lt;&gt;""),IF(OR(LEFT(X25,1)="T",LEFT(X25,1)="S",LEFT(X25,1)="A",LEFT(X25,1)="F",LEFT(X25,1)="C"),LEFT(X25,1),"R"),DY$18),"")</f>
        <v>15</v>
      </c>
      <c r="DZ25" s="108">
        <f t="shared" ref="DZ25" si="312">IFERROR(IF(AND($E26="H",Y25&lt;&gt;""),IF(OR(LEFT(Y25,1)="T",LEFT(Y25,1)="S",LEFT(Y25,1)="A",LEFT(Y25,1)="F",LEFT(Y25,1)="C"),LEFT(Y25,1),"R"),DZ$18),"")</f>
        <v>16</v>
      </c>
      <c r="EA25" s="108">
        <f t="shared" ref="EA25" si="313">IFERROR(IF(AND($E26="H",Z25&lt;&gt;""),IF(OR(LEFT(Z25,1)="T",LEFT(Z25,1)="S",LEFT(Z25,1)="A",LEFT(Z25,1)="F",LEFT(Z25,1)="C"),LEFT(Z25,1),"R"),EA$18),"")</f>
        <v>17</v>
      </c>
      <c r="EB25" s="108">
        <f t="shared" ref="EB25" si="314">IFERROR(IF(AND($E26="H",AA25&lt;&gt;""),IF(OR(LEFT(AA25,1)="T",LEFT(AA25,1)="S",LEFT(AA25,1)="A",LEFT(AA25,1)="F",LEFT(AA25,1)="C"),LEFT(AA25,1),"R"),EB$18),"")</f>
        <v>18</v>
      </c>
      <c r="EC25" s="108">
        <f t="shared" ref="EC25" si="315">IFERROR(IF(AND($E26="H",AB25&lt;&gt;""),IF(OR(LEFT(AB25,1)="T",LEFT(AB25,1)="S",LEFT(AB25,1)="A",LEFT(AB25,1)="F",LEFT(AB25,1)="C"),LEFT(AB25,1),"R"),EC$18),"")</f>
        <v>19</v>
      </c>
      <c r="ED25" s="108">
        <f t="shared" ref="ED25" si="316">IFERROR(IF(AND($E26="H",AC25&lt;&gt;""),IF(OR(LEFT(AC25,1)="T",LEFT(AC25,1)="S",LEFT(AC25,1)="A",LEFT(AC25,1)="F",LEFT(AC25,1)="C"),LEFT(AC25,1),"R"),ED$18),"")</f>
        <v>20</v>
      </c>
      <c r="EE25" s="108"/>
      <c r="EF25" s="108"/>
      <c r="EG25" s="108">
        <f t="shared" ref="EG25:EZ25" si="317">IFERROR(IF(J25&lt;&gt;"",UPPER(J25),EG$18),EG$18)</f>
        <v>1</v>
      </c>
      <c r="EH25" s="108">
        <f t="shared" si="317"/>
        <v>2</v>
      </c>
      <c r="EI25" s="108">
        <f t="shared" si="317"/>
        <v>3</v>
      </c>
      <c r="EJ25" s="108">
        <f t="shared" si="317"/>
        <v>4</v>
      </c>
      <c r="EK25" s="108">
        <f t="shared" si="317"/>
        <v>5</v>
      </c>
      <c r="EL25" s="108">
        <f t="shared" si="317"/>
        <v>6</v>
      </c>
      <c r="EM25" s="108">
        <f t="shared" si="317"/>
        <v>7</v>
      </c>
      <c r="EN25" s="108">
        <f t="shared" si="317"/>
        <v>8</v>
      </c>
      <c r="EO25" s="108">
        <f t="shared" si="317"/>
        <v>9</v>
      </c>
      <c r="EP25" s="108">
        <f t="shared" si="317"/>
        <v>10</v>
      </c>
      <c r="EQ25" s="108">
        <f t="shared" si="317"/>
        <v>11</v>
      </c>
      <c r="ER25" s="108">
        <f t="shared" si="317"/>
        <v>12</v>
      </c>
      <c r="ES25" s="108">
        <f t="shared" si="317"/>
        <v>13</v>
      </c>
      <c r="ET25" s="108">
        <f t="shared" si="317"/>
        <v>14</v>
      </c>
      <c r="EU25" s="108">
        <f t="shared" si="317"/>
        <v>15</v>
      </c>
      <c r="EV25" s="108">
        <f t="shared" si="317"/>
        <v>16</v>
      </c>
      <c r="EW25" s="108">
        <f t="shared" si="317"/>
        <v>17</v>
      </c>
      <c r="EX25" s="108">
        <f t="shared" si="317"/>
        <v>18</v>
      </c>
      <c r="EY25" s="108">
        <f t="shared" si="317"/>
        <v>19</v>
      </c>
      <c r="EZ25" s="108">
        <f t="shared" si="317"/>
        <v>20</v>
      </c>
      <c r="FA25" s="108"/>
      <c r="FB25" s="108">
        <f t="shared" ref="FB25" si="318">COUNTIF($DK25:$ED25,FB$18)</f>
        <v>0</v>
      </c>
      <c r="FC25" s="108">
        <f t="shared" si="15"/>
        <v>0</v>
      </c>
      <c r="FD25" s="108">
        <f t="shared" si="15"/>
        <v>0</v>
      </c>
      <c r="FE25" s="108">
        <f t="shared" si="15"/>
        <v>0</v>
      </c>
      <c r="FF25" s="108">
        <f t="shared" si="15"/>
        <v>0</v>
      </c>
      <c r="FG25" s="108">
        <f t="shared" si="15"/>
        <v>0</v>
      </c>
      <c r="FH25" s="108"/>
      <c r="FI25" s="108" t="str">
        <f t="shared" ref="FI25" si="319">IF(AND($F25="Hybrid - Thrust + 2 connections",FI26=0,LEFT($J25,1)="C",LEFT($K25,1)="C",LEFT($L25,1)="C"),"X","")</f>
        <v/>
      </c>
      <c r="FJ25" s="108"/>
      <c r="FL25" s="120" t="e">
        <f>IF(OR(LEFT(#REF!,2)="PL",LEFT(#REF!,2)="PL",LEFT(#REF!,2)="PL",LEFT(#REF!,2)="PL",LEFT(#REF!,2)="PL"),IF($BS$17-BR25&gt;$FL$17,"X",""),"")</f>
        <v>#REF!</v>
      </c>
      <c r="FM25" s="120"/>
      <c r="FN25" s="111" t="str">
        <f>IF(E26=3,_xlfn.NUMBERVALUE(LEFT(J25,1)),"")</f>
        <v/>
      </c>
    </row>
    <row r="26" spans="1:170" ht="12.75" x14ac:dyDescent="0.25">
      <c r="A26" s="40"/>
      <c r="B26" s="41"/>
      <c r="C26" s="41"/>
      <c r="D26" s="41"/>
      <c r="E26" s="21" t="str">
        <f>IF(F25="Acrobatic - Pair","PA",IF(F25="Acrobatic Airborn","A",IF(F25="Acrobatic Balance","B",IF(F25="Acrobatic Combined","C",IF(F25="Acrobatic Platform","P",IF(F25="Technical Required Element",3,IF(LEFT(F25,4)="Hybr","H","")))))))</f>
        <v/>
      </c>
      <c r="F26" s="21" t="str">
        <f>IF(AND(F25="Hybrid - Thrust + 2 connections",BU25="X"),"Hybrid - Thrust",IF(OR(E26="A",E26="B",E26="C",E26="P"),"Acrobatic",""))</f>
        <v/>
      </c>
      <c r="G26" s="43"/>
      <c r="H26" s="222" t="str">
        <f t="shared" ref="H26" si="320">IF(E26="PA",IF(OR(LEFT(J25,1)="L",LEFT(J25,1)="S"),"A-Pair-Lift",IF(OR(LEFT(J25,1)="W",LEFT(J25,1)="T"),"A-Pair-Throw",IF(LEFT(J25,1)="J","A-Pair-Jump","A-Pair"))),IF(OR(E26="A",E26="B",E26="C",E26="P"),CONCATENATE("Acro-",E26),""))</f>
        <v/>
      </c>
      <c r="I26" s="216" t="e">
        <f t="shared" ref="I26" si="321">IF(OR(F25="Hybrid - min 4 swimmers (no DD)",LEFT(F25,5)="Trans"),0,INDEX($BV$3:$BV$9,MATCH(E26,$BU$3:$BU$9,0)))</f>
        <v>#N/A</v>
      </c>
      <c r="J26" s="210">
        <f t="shared" ref="J26" ca="1" si="322">IFERROR(IF($H25="No DD",0,IF(OR(ISBLANK(J25),J25="N/A"),0,INDEX(INDIRECT(AV26),MATCH(J25,INDIRECT(AV25),0)))),0)</f>
        <v>0</v>
      </c>
      <c r="K26" s="210">
        <f t="shared" ref="K26" ca="1" si="323">IFERROR(IF($H25="No DD",0,IF(OR(ISBLANK(K25),K25="N/A"),0,INDEX(INDIRECT(AW26),MATCH(K25,INDIRECT(AW25),0)))),0)</f>
        <v>0</v>
      </c>
      <c r="L26" s="210">
        <f t="shared" ref="L26" ca="1" si="324">IFERROR(IF($H25="No DD",0,IF(OR(ISBLANK(L25),L25="N/A"),0,INDEX(INDIRECT(AX26),MATCH(L25,INDIRECT(AX25),0)))),0)</f>
        <v>0</v>
      </c>
      <c r="M26" s="210">
        <f t="shared" ref="M26" ca="1" si="325">IFERROR(IF($H25="No DD",0,IF(OR(ISBLANK(M25),M25="N/A"),0,INDEX(INDIRECT(AY26),MATCH(M25,INDIRECT(AY25),0)))),0)</f>
        <v>0</v>
      </c>
      <c r="N26" s="210">
        <f t="shared" ref="N26" ca="1" si="326">IFERROR(IF($H25="No DD",0,IF(OR(ISBLANK(N25),N25="N/A"),0,INDEX(INDIRECT(AZ26),MATCH(N25,INDIRECT(AZ25),0)))),0)</f>
        <v>0</v>
      </c>
      <c r="O26" s="210">
        <f t="shared" ref="O26" ca="1" si="327">IFERROR(IF($H25="No DD",0,IF(OR(ISBLANK(O25),O25="N/A"),0,INDEX(INDIRECT(BA26),MATCH(O25,INDIRECT(BA25),0)))),0)</f>
        <v>0</v>
      </c>
      <c r="P26" s="210">
        <f t="shared" ref="P26" ca="1" si="328">IFERROR(IF($H25="No DD",0,IF(OR(ISBLANK(P25),P25="N/A"),0,INDEX(INDIRECT(BB26),MATCH(P25,INDIRECT(BB25),0)))),0)</f>
        <v>0</v>
      </c>
      <c r="Q26" s="210">
        <f t="shared" ref="Q26" ca="1" si="329">IFERROR(IF($H25="No DD",0,IF(OR(ISBLANK(Q25),Q25="N/A"),0,INDEX(INDIRECT(BC26),MATCH(Q25,INDIRECT(BC25),0)))),0)</f>
        <v>0</v>
      </c>
      <c r="R26" s="210">
        <f t="shared" ref="R26" ca="1" si="330">IFERROR(IF($H25="No DD",0,IF(OR(ISBLANK(R25),R25="N/A"),0,INDEX(INDIRECT(BD26),MATCH(R25,INDIRECT(BD25),0)))),0)</f>
        <v>0</v>
      </c>
      <c r="S26" s="210">
        <f t="shared" ref="S26" ca="1" si="331">IFERROR(IF($H25="No DD",0,IF(OR(ISBLANK(S25),S25="N/A"),0,INDEX(INDIRECT(BE26),MATCH(S25,INDIRECT(BE25),0)))),0)</f>
        <v>0</v>
      </c>
      <c r="T26" s="210">
        <f t="shared" ref="T26" ca="1" si="332">IFERROR(IF($H25="No DD",0,IF(OR(ISBLANK(T25),T25="N/A"),0,INDEX(INDIRECT(BF26),MATCH(T25,INDIRECT(BF25),0)))),0)</f>
        <v>0</v>
      </c>
      <c r="U26" s="210">
        <f t="shared" ref="U26" ca="1" si="333">IFERROR(IF($H25="No DD",0,IF(OR(ISBLANK(U25),U25="N/A"),0,INDEX(INDIRECT(BG26),MATCH(U25,INDIRECT(BG25),0)))),0)</f>
        <v>0</v>
      </c>
      <c r="V26" s="210">
        <f t="shared" ref="V26" ca="1" si="334">IFERROR(IF($H25="No DD",0,IF(OR(ISBLANK(V25),V25="N/A"),0,INDEX(INDIRECT(BH26),MATCH(V25,INDIRECT(BH25),0)))),0)</f>
        <v>0</v>
      </c>
      <c r="W26" s="210">
        <f t="shared" ref="W26" ca="1" si="335">IFERROR(IF($H25="No DD",0,IF(OR(ISBLANK(W25),W25="N/A"),0,INDEX(INDIRECT(BI26),MATCH(W25,INDIRECT(BI25),0)))),0)</f>
        <v>0</v>
      </c>
      <c r="X26" s="210">
        <f t="shared" ref="X26" ca="1" si="336">IFERROR(IF($H25="No DD",0,IF(OR(ISBLANK(X25),X25="N/A"),0,INDEX(INDIRECT(BJ26),MATCH(X25,INDIRECT(BJ25),0)))),0)</f>
        <v>0</v>
      </c>
      <c r="Y26" s="210">
        <f t="shared" ref="Y26" ca="1" si="337">IFERROR(IF($H25="No DD",0,IF(OR(ISBLANK(Y25),Y25="N/A"),0,INDEX(INDIRECT(BK26),MATCH(Y25,INDIRECT(BK25),0)))),0)</f>
        <v>0</v>
      </c>
      <c r="Z26" s="210">
        <f t="shared" ref="Z26" ca="1" si="338">IFERROR(IF($H25="No DD",0,IF(OR(ISBLANK(Z25),Z25="N/A"),0,INDEX(INDIRECT(BL26),MATCH(Z25,INDIRECT(BL25),0)))),0)</f>
        <v>0</v>
      </c>
      <c r="AA26" s="210">
        <f t="shared" ref="AA26" ca="1" si="339">IFERROR(IF($H25="No DD",0,IF(OR(ISBLANK(AA25),AA25="N/A"),0,INDEX(INDIRECT(BM26),MATCH(AA25,INDIRECT(BM25),0)))),0)</f>
        <v>0</v>
      </c>
      <c r="AB26" s="210">
        <f t="shared" ref="AB26" ca="1" si="340">IFERROR(IF($H25="No DD",0,IF(OR(ISBLANK(AB25),AB25="N/A"),0,INDEX(INDIRECT(BN26),MATCH(AB25,INDIRECT(BN25),0)))),0)</f>
        <v>0</v>
      </c>
      <c r="AC26" s="210">
        <f t="shared" ref="AC26" ca="1" si="341">IFERROR(IF($H25="No DD",0,IF(OR(ISBLANK(AC25),AC25="N/A"),0,INDEX(INDIRECT(BO26),MATCH(AC25,INDIRECT(BO25),0)))),0)</f>
        <v>0</v>
      </c>
      <c r="AD26" s="211" t="str">
        <f>IFERROR(IF(E26="H",INDEX(HybridBonus_Value,MATCH(AD25,HybridBonus_Code,0)),""),"")</f>
        <v/>
      </c>
      <c r="AE26" s="209" t="str">
        <f t="shared" ref="AE26" si="342">IFERROR(IF(J25&lt;&gt;"",SUM(I26:AD26),""),"")</f>
        <v/>
      </c>
      <c r="AF26" s="76"/>
      <c r="AG26" s="76"/>
      <c r="AH26" s="121"/>
      <c r="AI26" s="121"/>
      <c r="AJ26" s="121"/>
      <c r="AK26" s="121"/>
      <c r="AL26" s="121"/>
      <c r="AM26" s="121"/>
      <c r="AN26" s="121"/>
      <c r="AO26" s="121"/>
      <c r="AP26" s="121"/>
      <c r="AQ26" s="121"/>
      <c r="AR26" s="121"/>
      <c r="AS26" s="121"/>
      <c r="AT26" s="110"/>
      <c r="AU26" s="121"/>
      <c r="AV26" s="111" t="str">
        <f t="shared" ref="AV26" si="343">IF($E26="H","HybridDD_Value",IF($E26=3,"TreDD_Value",IF($E26="PA","AcroPair_Value",IF(LEFT($F25,4)="Acro",CONCATENATE(AV$16,$E26,"_Value"),""))))</f>
        <v/>
      </c>
      <c r="AW26" s="111" t="str">
        <f t="shared" ref="AW26:AX26" si="344">IF($E26="H","HybridDD_Value",IF($E26=3,"",IF(LEFT($F25,4)="Acro",CONCATENATE(AW$16,$E26,"_Value"),IF($E26="PA","",""))))</f>
        <v/>
      </c>
      <c r="AX26" s="111" t="str">
        <f t="shared" si="344"/>
        <v/>
      </c>
      <c r="AY26" s="111" t="str">
        <f t="shared" ref="AY26:BD26" si="345">IF($E26="H","HybridDD_Value",IF($E26=3,"",IF(LEFT($F25,4)="Acro",CONCATENATE(AY$16,$E26,"_Value"),IF($E26="PA","",""))))</f>
        <v/>
      </c>
      <c r="AZ26" s="111" t="str">
        <f t="shared" si="345"/>
        <v/>
      </c>
      <c r="BA26" s="111" t="str">
        <f t="shared" si="345"/>
        <v/>
      </c>
      <c r="BB26" s="111" t="str">
        <f t="shared" si="345"/>
        <v/>
      </c>
      <c r="BC26" s="111" t="str">
        <f t="shared" si="345"/>
        <v/>
      </c>
      <c r="BD26" s="111" t="str">
        <f t="shared" si="345"/>
        <v/>
      </c>
      <c r="BE26" s="110" t="str">
        <f t="shared" ref="BE26" si="346">IF($E26="H","HybridDD_Value","Data!$BI$1:$BI$5")</f>
        <v>Data!$BI$1:$BI$5</v>
      </c>
      <c r="BF26" s="110" t="str">
        <f t="shared" si="7"/>
        <v>Data!$BI$1:$BI$5</v>
      </c>
      <c r="BG26" s="110" t="str">
        <f t="shared" si="7"/>
        <v>Data!$BI$1:$BI$5</v>
      </c>
      <c r="BH26" s="110" t="str">
        <f t="shared" si="7"/>
        <v>Data!$BI$1:$BI$5</v>
      </c>
      <c r="BI26" s="110" t="str">
        <f t="shared" si="7"/>
        <v>Data!$BI$1:$BI$5</v>
      </c>
      <c r="BJ26" s="110" t="str">
        <f t="shared" si="7"/>
        <v>Data!$BI$1:$BI$5</v>
      </c>
      <c r="BK26" s="110" t="str">
        <f t="shared" si="7"/>
        <v>Data!$BI$1:$BI$5</v>
      </c>
      <c r="BL26" s="110" t="str">
        <f t="shared" si="7"/>
        <v>Data!$BI$1:$BI$5</v>
      </c>
      <c r="BM26" s="110" t="str">
        <f t="shared" si="7"/>
        <v>Data!$BI$1:$BI$5</v>
      </c>
      <c r="BN26" s="110" t="str">
        <f t="shared" si="7"/>
        <v>Data!$BI$1:$BI$5</v>
      </c>
      <c r="BO26" s="110" t="str">
        <f t="shared" si="7"/>
        <v>Data!$BI$1:$BI$5</v>
      </c>
      <c r="BP26" s="121"/>
      <c r="BQ26" s="121"/>
      <c r="BR26" s="122" t="str">
        <f>IFERROR(IF(AND($BS$6="T",$BS$8="T",LEFT(F25,4)="Acro",AE26&gt;3),"X",IF($N$7="X",IF(AND(E26="C",AE26&gt;$CA$6),"X",IF(AND(E26="A",AE26&gt;$CA$4),"X",IF(AND(E26="B",AE26&gt;$CA$5),"X",IF(AND(E26="P",AE26&gt;$CA$7),"X","")))),"")),"")</f>
        <v/>
      </c>
      <c r="BS26" s="114"/>
      <c r="BU26" s="108"/>
      <c r="CA26" s="111"/>
      <c r="CB26" s="111"/>
      <c r="CC26" s="111"/>
      <c r="CG26" s="108" t="str">
        <f t="shared" si="9"/>
        <v/>
      </c>
      <c r="CH26" s="108" t="str">
        <f t="shared" si="10"/>
        <v/>
      </c>
      <c r="CI26" s="108" t="str">
        <f t="shared" si="11"/>
        <v/>
      </c>
      <c r="CJ26" s="108" t="str">
        <f t="shared" si="12"/>
        <v/>
      </c>
      <c r="CR26" s="108">
        <v>8</v>
      </c>
      <c r="DI26" s="108" t="str" cm="1">
        <f t="array" ref="DI26">IFERROR(INDEX(DK26:ED26,MATCH(TRUE,INDEX((DK26:ED26&lt;&gt;""),),0)),"")</f>
        <v/>
      </c>
      <c r="DK26" s="108" t="str">
        <f t="shared" ref="DK26" si="347">IF(F25="Hybrid - Thrust + 2 connections",IF(COUNTIF($DK25:$ED25,DK25)&gt;1,DK25,""),IF(COUNTIF($DK25:$ED25,DK25)&gt;5,DK25,""))</f>
        <v/>
      </c>
      <c r="DL26" s="108" t="str">
        <f t="shared" ref="DL26" si="348">IF(G25="Hybrid - Thrust + 2 connections",IF(COUNTIF($DK25:$ED25,DL25)&gt;1,DL25,""),IF(COUNTIF($DK25:$ED25,DL25)&gt;5,DL25,""))</f>
        <v/>
      </c>
      <c r="DM26" s="108" t="str">
        <f t="shared" ref="DM26" si="349">IF(H25="Hybrid - Thrust + 2 connections",IF(COUNTIF($DK25:$ED25,DM25)&gt;1,DM25,""),IF(COUNTIF($DK25:$ED25,DM25)&gt;5,DM25,""))</f>
        <v/>
      </c>
      <c r="DN26" s="108" t="str">
        <f t="shared" ref="DN26" si="350">IF(I25="Hybrid - Thrust + 2 connections",IF(COUNTIF($DK25:$ED25,DN25)&gt;1,DN25,""),IF(COUNTIF($DK25:$ED25,DN25)&gt;5,DN25,""))</f>
        <v/>
      </c>
      <c r="DO26" s="108" t="str">
        <f t="shared" ref="DO26" si="351">IF(J25="Hybrid - Thrust + 2 connections",IF(COUNTIF($DK25:$ED25,DO25)&gt;1,DO25,""),IF(COUNTIF($DK25:$ED25,DO25)&gt;5,DO25,""))</f>
        <v/>
      </c>
      <c r="DP26" s="108" t="str">
        <f t="shared" ref="DP26" si="352">IF(K25="Hybrid - Thrust + 2 connections",IF(COUNTIF($DK25:$ED25,DP25)&gt;1,DP25,""),IF(COUNTIF($DK25:$ED25,DP25)&gt;5,DP25,""))</f>
        <v/>
      </c>
      <c r="DQ26" s="108" t="str">
        <f t="shared" ref="DQ26" si="353">IF(L25="Hybrid - Thrust + 2 connections",IF(COUNTIF($DK25:$ED25,DQ25)&gt;1,DQ25,""),IF(COUNTIF($DK25:$ED25,DQ25)&gt;5,DQ25,""))</f>
        <v/>
      </c>
      <c r="DR26" s="108" t="str">
        <f t="shared" ref="DR26" si="354">IF(M25="Hybrid - Thrust + 2 connections",IF(COUNTIF($DK25:$ED25,DR25)&gt;1,DR25,""),IF(COUNTIF($DK25:$ED25,DR25)&gt;5,DR25,""))</f>
        <v/>
      </c>
      <c r="DS26" s="108" t="str">
        <f t="shared" ref="DS26" si="355">IF(N25="Hybrid - Thrust + 2 connections",IF(COUNTIF($DK25:$ED25,DS25)&gt;1,DS25,""),IF(COUNTIF($DK25:$ED25,DS25)&gt;5,DS25,""))</f>
        <v/>
      </c>
      <c r="DT26" s="108" t="str">
        <f t="shared" ref="DT26" si="356">IF(O25="Hybrid - Thrust + 2 connections",IF(COUNTIF($DK25:$ED25,DT25)&gt;1,DT25,""),IF(COUNTIF($DK25:$ED25,DT25)&gt;5,DT25,""))</f>
        <v/>
      </c>
      <c r="DU26" s="108" t="str">
        <f t="shared" ref="DU26" si="357">IF(P25="Hybrid - Thrust + 2 connections",IF(COUNTIF($DK25:$ED25,DU25)&gt;1,DU25,""),IF(COUNTIF($DK25:$ED25,DU25)&gt;5,DU25,""))</f>
        <v/>
      </c>
      <c r="DV26" s="108" t="str">
        <f t="shared" ref="DV26" si="358">IF(Q25="Hybrid - Thrust + 2 connections",IF(COUNTIF($DK25:$ED25,DV25)&gt;1,DV25,""),IF(COUNTIF($DK25:$ED25,DV25)&gt;5,DV25,""))</f>
        <v/>
      </c>
      <c r="DW26" s="108" t="str">
        <f t="shared" ref="DW26" si="359">IF(R25="Hybrid - Thrust + 2 connections",IF(COUNTIF($DK25:$ED25,DW25)&gt;1,DW25,""),IF(COUNTIF($DK25:$ED25,DW25)&gt;5,DW25,""))</f>
        <v/>
      </c>
      <c r="DX26" s="108" t="str">
        <f t="shared" ref="DX26" si="360">IF(S25="Hybrid - Thrust + 2 connections",IF(COUNTIF($DK25:$ED25,DX25)&gt;1,DX25,""),IF(COUNTIF($DK25:$ED25,DX25)&gt;5,DX25,""))</f>
        <v/>
      </c>
      <c r="DY26" s="108" t="str">
        <f t="shared" ref="DY26" si="361">IF(T25="Hybrid - Thrust + 2 connections",IF(COUNTIF($DK25:$ED25,DY25)&gt;1,DY25,""),IF(COUNTIF($DK25:$ED25,DY25)&gt;5,DY25,""))</f>
        <v/>
      </c>
      <c r="DZ26" s="108" t="str">
        <f t="shared" ref="DZ26" si="362">IF(U25="Hybrid - Thrust + 2 connections",IF(COUNTIF($DK25:$ED25,DZ25)&gt;1,DZ25,""),IF(COUNTIF($DK25:$ED25,DZ25)&gt;5,DZ25,""))</f>
        <v/>
      </c>
      <c r="EA26" s="108" t="str">
        <f t="shared" ref="EA26" si="363">IF(V25="Hybrid - Thrust + 2 connections",IF(COUNTIF($DK25:$ED25,EA25)&gt;1,EA25,""),IF(COUNTIF($DK25:$ED25,EA25)&gt;5,EA25,""))</f>
        <v/>
      </c>
      <c r="EB26" s="108" t="str">
        <f t="shared" ref="EB26" si="364">IF(W25="Hybrid - Thrust + 2 connections",IF(COUNTIF($DK25:$ED25,EB25)&gt;1,EB25,""),IF(COUNTIF($DK25:$ED25,EB25)&gt;5,EB25,""))</f>
        <v/>
      </c>
      <c r="EC26" s="108" t="str">
        <f t="shared" ref="EC26" si="365">IF(X25="Hybrid - Thrust + 2 connections",IF(COUNTIF($DK25:$ED25,EC25)&gt;1,EC25,""),IF(COUNTIF($DK25:$ED25,EC25)&gt;5,EC25,""))</f>
        <v/>
      </c>
      <c r="ED26" s="108" t="str">
        <f t="shared" ref="ED26" si="366">IF(Y25="Hybrid - Thrust + 2 connections",IF(COUNTIF($DK25:$ED25,ED25)&gt;1,ED25,""),IF(COUNTIF($DK25:$ED25,ED25)&gt;5,ED25,""))</f>
        <v/>
      </c>
      <c r="EE26" s="108"/>
      <c r="EF26" s="108" t="str" cm="1">
        <f t="array" ref="EF26">IFERROR(INDEX(EG26:EZ26,MATCH(TRUE,INDEX((EG26:EZ26&lt;&gt;""),),0)),"")</f>
        <v/>
      </c>
      <c r="EG26" s="108" t="str">
        <f t="shared" ref="EG26" si="367">IF(COUNTIF($EG25:$EZ25,EG25)&gt;3,EG25,"")</f>
        <v/>
      </c>
      <c r="EH26" s="108" t="str">
        <f t="shared" ref="EH26" si="368">IF(COUNTIF($EG25:$EZ25,EH25)&gt;3,EH25,"")</f>
        <v/>
      </c>
      <c r="EI26" s="108" t="str">
        <f t="shared" ref="EI26" si="369">IF(COUNTIF($EG25:$EZ25,EI25)&gt;3,EI25,"")</f>
        <v/>
      </c>
      <c r="EJ26" s="108" t="str">
        <f t="shared" ref="EJ26" si="370">IF(COUNTIF($EG25:$EZ25,EJ25)&gt;3,EJ25,"")</f>
        <v/>
      </c>
      <c r="EK26" s="108" t="str">
        <f t="shared" ref="EK26" si="371">IF(COUNTIF($EG25:$EZ25,EK25)&gt;3,EK25,"")</f>
        <v/>
      </c>
      <c r="EL26" s="108" t="str">
        <f t="shared" ref="EL26" si="372">IF(COUNTIF($EG25:$EZ25,EL25)&gt;3,EL25,"")</f>
        <v/>
      </c>
      <c r="EM26" s="108" t="str">
        <f t="shared" ref="EM26" si="373">IF(COUNTIF($EG25:$EZ25,EM25)&gt;3,EM25,"")</f>
        <v/>
      </c>
      <c r="EN26" s="108" t="str">
        <f t="shared" ref="EN26" si="374">IF(COUNTIF($EG25:$EZ25,EN25)&gt;3,EN25,"")</f>
        <v/>
      </c>
      <c r="EO26" s="108" t="str">
        <f t="shared" ref="EO26" si="375">IF(COUNTIF($EG25:$EZ25,EO25)&gt;3,EO25,"")</f>
        <v/>
      </c>
      <c r="EP26" s="108" t="str">
        <f t="shared" ref="EP26" si="376">IF(COUNTIF($EG25:$EZ25,EP25)&gt;3,EP25,"")</f>
        <v/>
      </c>
      <c r="EQ26" s="108" t="str">
        <f t="shared" ref="EQ26" si="377">IF(COUNTIF($EG25:$EZ25,EQ25)&gt;3,EQ25,"")</f>
        <v/>
      </c>
      <c r="ER26" s="108" t="str">
        <f t="shared" ref="ER26" si="378">IF(COUNTIF($EG25:$EZ25,ER25)&gt;3,ER25,"")</f>
        <v/>
      </c>
      <c r="ES26" s="108" t="str">
        <f t="shared" ref="ES26" si="379">IF(COUNTIF($EG25:$EZ25,ES25)&gt;3,ES25,"")</f>
        <v/>
      </c>
      <c r="ET26" s="108" t="str">
        <f t="shared" ref="ET26" si="380">IF(COUNTIF($EG25:$EZ25,ET25)&gt;3,ET25,"")</f>
        <v/>
      </c>
      <c r="EU26" s="108" t="str">
        <f t="shared" ref="EU26" si="381">IF(COUNTIF($EG25:$EZ25,EU25)&gt;3,EU25,"")</f>
        <v/>
      </c>
      <c r="EV26" s="108" t="str">
        <f t="shared" ref="EV26" si="382">IF(COUNTIF($EG25:$EZ25,EV25)&gt;3,EV25,"")</f>
        <v/>
      </c>
      <c r="EW26" s="108" t="str">
        <f t="shared" ref="EW26" si="383">IF(COUNTIF($EG25:$EZ25,EW25)&gt;3,EW25,"")</f>
        <v/>
      </c>
      <c r="EX26" s="108" t="str">
        <f t="shared" ref="EX26" si="384">IF(COUNTIF($EG25:$EZ25,EX25)&gt;3,EX25,"")</f>
        <v/>
      </c>
      <c r="EY26" s="108" t="str">
        <f t="shared" ref="EY26" si="385">IF(COUNTIF($EG25:$EZ25,EY25)&gt;3,EY25,"")</f>
        <v/>
      </c>
      <c r="EZ26" s="108" t="str">
        <f t="shared" ref="EZ26" si="386">IF(COUNTIF($EG25:$EZ25,EZ25)&gt;3,EZ25,"")</f>
        <v/>
      </c>
      <c r="FA26" s="108"/>
      <c r="FB26" s="108"/>
      <c r="FC26" s="108"/>
      <c r="FD26" s="108"/>
      <c r="FE26" s="108"/>
      <c r="FF26" s="108"/>
      <c r="FG26" s="108"/>
      <c r="FH26" s="108"/>
      <c r="FI26" s="108" t="str">
        <f t="shared" ref="FI26" si="387">IF($F25="Hybrid - Thrust + 2 connections",COUNTBLANK(J25:L25),"")</f>
        <v/>
      </c>
      <c r="FJ26" s="108"/>
      <c r="FN26" s="111"/>
    </row>
    <row r="27" spans="1:170" ht="12.75" x14ac:dyDescent="0.25">
      <c r="A27" s="40" t="str">
        <f>IF(AND(E25="",A25&lt;&gt;""),IF(BS25=$BS$18,"",IF(C25&lt;&gt;"",IF(D25=59,MINUTE(BS25)+1,MINUTE(BS25)),"")),"")</f>
        <v/>
      </c>
      <c r="B27" s="41" t="str">
        <f>IF(AND(E25="",B25&lt;&gt;""),IF(BS25=$BS$18,"",IF(C25&lt;&gt;"",IF(D25=59,0,SECOND(BS25)+1),"")),"")</f>
        <v/>
      </c>
      <c r="C27" s="51"/>
      <c r="D27" s="51"/>
      <c r="E27" s="9"/>
      <c r="F27" s="52"/>
      <c r="G27" s="43" t="str">
        <f>IF(F27&lt;&gt;"",IF(OR(F27="Transition",F27="Transition - Surface Connection"),0,MAX($G$19:G26)+1),"")</f>
        <v/>
      </c>
      <c r="H27" s="57" t="str">
        <f t="shared" ref="H27" si="388">IFERROR(IF(E28="3","",IF(OR(F27="Hybrid - min 4 swimmers (no DD)",LEFT(F27,5)="Trans"),"No DD",CONCATENATE("BM = ",I28))),"")</f>
        <v/>
      </c>
      <c r="I27" s="58"/>
      <c r="J27" s="130"/>
      <c r="K27" s="137"/>
      <c r="L27" s="137"/>
      <c r="M27" s="137"/>
      <c r="N27" s="137"/>
      <c r="O27" s="137"/>
      <c r="P27" s="137"/>
      <c r="Q27" s="137"/>
      <c r="R27" s="137"/>
      <c r="S27" s="137"/>
      <c r="T27" s="137"/>
      <c r="U27" s="137"/>
      <c r="V27" s="137"/>
      <c r="W27" s="137"/>
      <c r="X27" s="137"/>
      <c r="Y27" s="137"/>
      <c r="Z27" s="137"/>
      <c r="AA27" s="137"/>
      <c r="AB27" s="137"/>
      <c r="AC27" s="137"/>
      <c r="AD27" s="191"/>
      <c r="AE27" s="44"/>
      <c r="AF27" s="75"/>
      <c r="AG27" s="75"/>
      <c r="AH27" s="110"/>
      <c r="AI27" s="110"/>
      <c r="AJ27" s="110"/>
      <c r="AK27" s="110"/>
      <c r="AL27" s="110"/>
      <c r="AM27" s="110"/>
      <c r="AN27" s="110"/>
      <c r="AO27" s="110"/>
      <c r="AP27" s="110"/>
      <c r="AQ27" s="110"/>
      <c r="AR27" s="110"/>
      <c r="AS27" s="110"/>
      <c r="AT27" s="110" t="str">
        <f>IFERROR(IF(F27&lt;&gt;"",INDEX(Parts_Active,MATCH(F27,Parts_Active,0)),""),"No")</f>
        <v/>
      </c>
      <c r="AU27" s="110"/>
      <c r="AV27" s="110" t="str">
        <f t="shared" ref="AV27" si="389">IF($E28="H",IF($F27="Hybrid - Thrust + 2 connections","Hybrid_Mix_Req","HybridDD_Code"),IF($E28=3,"TreDD_Code",IF($E28="PA","AcroPair_Code",IF(LEFT($F27,4)="Acro",CONCATENATE(AV$16,$E28,"_Code"),"Data!$BI$1:$BI$5"))))</f>
        <v>Data!$BI$1:$BI$5</v>
      </c>
      <c r="AW27" s="110" t="str">
        <f t="shared" ref="AW27" si="390">IF($E28="H",IF($F27="Hybrid - Thrust + 2 connections","Hybrid_Mix_Req","HybridDD_Code"),IF($E28=3,"TreDD_Code",IF($E28="PA","AcroPair_Code",IF(LEFT($F27,4)="Acro",CONCATENATE(AW$16,$E28,"_Code"),"Data!$BI$1:$BI$5"))))</f>
        <v>Data!$BI$1:$BI$5</v>
      </c>
      <c r="AX27" s="110" t="str">
        <f t="shared" ref="AX27" si="391">IF($E28="H",IF($F27="Hybrid - Thrust + 2 connections","Hybrid_Mix_Req","HybridDD_Code"),IF($E28=3,"TreDD_Code",IF($E28="PA","AcroPair_Code",IF(LEFT($F27,4)="Acro",CONCATENATE(AX$16,$E28,"_Code"),"Data!$BI$1:$BI$5"))))</f>
        <v>Data!$BI$1:$BI$5</v>
      </c>
      <c r="AY27" s="110" t="str">
        <f t="shared" ref="AY27" si="392">IF($E28="H",IF($F27="Hybrid - Thrust + 2 connections","Data!$BI$1:$BI$5","HybridDD_Code"),IF($E28=3,"Data!$BI$1:$BI$5",IF(LEFT($F27,4)="Acro",CONCATENATE(AY$16,$E28,"_Code"),IF($E28="PA","","Data!$BI$1:$BI$5"))))</f>
        <v>Data!$BI$1:$BI$5</v>
      </c>
      <c r="AZ27" s="110" t="str">
        <f t="shared" ref="AZ27" si="393">IF($E28="H",IF($F27="Hybrid - Thrust + 2 connections","Data!$BI$1:$BI$5","HybridDD_Code"),IF($E28=3,"Data!$BI$1:$BI$5",IF(LEFT($F27,4)="Acro",CONCATENATE(AZ$16,$E28,"_Code"),IF($E28="PA","","Data!$BI$1:$BI$5"))))</f>
        <v>Data!$BI$1:$BI$5</v>
      </c>
      <c r="BA27" s="110" t="str">
        <f t="shared" ref="BA27" si="394">IF($E28="H",IF($F27="Hybrid - Thrust + 2 connections","Data!$BI$1:$BI$5","HybridDD_Code"),IF($E28=3,"Data!$BI$1:$BI$5",IF(LEFT($F27,4)="Acro",CONCATENATE(BA$16,$E28,"_Code"),IF($E28="PA","","Data!$BI$1:$BI$5"))))</f>
        <v>Data!$BI$1:$BI$5</v>
      </c>
      <c r="BB27" s="110" t="str">
        <f t="shared" ref="BB27" si="395">IF($E28="H",IF($F27="Hybrid - Thrust + 2 connections","Data!$BI$1:$BI$5","HybridDD_Code"),IF($E28=3,"Data!$BI$1:$BI$5",IF(LEFT($F27,4)="Acro",CONCATENATE(BB$16,$E28,"_Code"),IF($E28="PA","","Data!$BI$1:$BI$5"))))</f>
        <v>Data!$BI$1:$BI$5</v>
      </c>
      <c r="BC27" s="110" t="str">
        <f t="shared" ref="BC27" si="396">IF($E28="H",IF($F27="Hybrid - Thrust + 2 connections","Data!$BI$1:$BI$5","HybridDD_Code"),IF($E28=3,"Data!$BI$1:$BI$5",IF(LEFT($F27,4)="Acro",CONCATENATE(BC$16,$E28,"_Code"),IF($E28="PA","","Data!$BI$1:$BI$5"))))</f>
        <v>Data!$BI$1:$BI$5</v>
      </c>
      <c r="BD27" s="110" t="str">
        <f t="shared" ref="BD27" si="397">IF($E28="H",IF($F27="Hybrid - Thrust + 2 connections","Data!$BI$1:$BI$5","HybridDD_Code"),IF($E28=3,"Data!$BI$1:$BI$5",IF(LEFT($F27,4)="Acro",CONCATENATE(BD$16,$E28,"_Code"),IF($E28="PA","","Data!$BI$1:$BI$5"))))</f>
        <v>Data!$BI$1:$BI$5</v>
      </c>
      <c r="BE27" s="110" t="str">
        <f t="shared" ref="BE27" si="398">IF($E28="H",IF($F27="Hybrid - Thrust + 2 connections","Data!$BI$1:$BI$5","HybridDD_Code"),"Data!$BI$1:$BI$5")</f>
        <v>Data!$BI$1:$BI$5</v>
      </c>
      <c r="BF27" s="110" t="str">
        <f t="shared" si="7"/>
        <v>Data!$BI$1:$BI$5</v>
      </c>
      <c r="BG27" s="110" t="str">
        <f t="shared" si="7"/>
        <v>Data!$BI$1:$BI$5</v>
      </c>
      <c r="BH27" s="110" t="str">
        <f t="shared" si="7"/>
        <v>Data!$BI$1:$BI$5</v>
      </c>
      <c r="BI27" s="110" t="str">
        <f t="shared" si="7"/>
        <v>Data!$BI$1:$BI$5</v>
      </c>
      <c r="BJ27" s="110" t="str">
        <f t="shared" si="7"/>
        <v>Data!$BI$1:$BI$5</v>
      </c>
      <c r="BK27" s="110" t="str">
        <f t="shared" si="7"/>
        <v>Data!$BI$1:$BI$5</v>
      </c>
      <c r="BL27" s="110" t="str">
        <f t="shared" si="7"/>
        <v>Data!$BI$1:$BI$5</v>
      </c>
      <c r="BM27" s="110" t="str">
        <f t="shared" si="7"/>
        <v>Data!$BI$1:$BI$5</v>
      </c>
      <c r="BN27" s="110" t="str">
        <f t="shared" si="7"/>
        <v>Data!$BI$1:$BI$5</v>
      </c>
      <c r="BO27" s="110" t="str">
        <f t="shared" si="7"/>
        <v>Data!$BI$1:$BI$5</v>
      </c>
      <c r="BP27" s="110"/>
      <c r="BQ27" s="110"/>
      <c r="BR27" s="113" t="str">
        <f t="shared" ref="BR27" si="399">IFERROR(TIME(0,A27,B27),"")</f>
        <v/>
      </c>
      <c r="BS27" s="114">
        <f>IFERROR(TIME(0,C27,D27),"")</f>
        <v>0</v>
      </c>
      <c r="BT27" s="114" t="str">
        <f t="shared" ref="BT27" si="400">IF(BS27&gt;$D$12,"X","")</f>
        <v/>
      </c>
      <c r="BU27" s="108" t="str">
        <f>IF(AND(F27="Hybrid - Thrust + 2 connections",OR(LEFT(J27,1)="T",LEFT(K27,1)="T",LEFT(L27,1)="T",LEFT(NG27,1)="T",LEFT(M27,1)="T",LEFT(N27,1)="T",LEFT(O27,1)="T",LEFT(P27,1)="T",LEFT(Q27,1)="T",LEFT(R27,1)="T",LEFT(S27,1)="T",LEFT(T27,1)="T",LEFT(U27,1)="T",LEFT(V27,1)="T",LEFT(W27,1)="T",LEFT(X27,1)="T",LEFT(AA27,1)="T",LEFT(AB27,1)="T",LEFT(AC27,1)="T")),IF(OR(LEN(J27)=2,LEN(K27)=2,LEN(L27)=2,LEN(M27)=2,LEN(N27)=2,LEN(O27)=2,LEN(P27)=2,LEN(Q27)=2,LEN(R27)=2,LEN(S27)=2,LEN(T27)=2,LEN(U27)=2,LEN(V27)=2,LEN(W27)=2,LEN(X27)=2,LEN(Y27)=2,LEN(Z27)=2,LEN(AA27)=2,LEN(AB27)=2,LEN(AC27)=2),"X",""),"")</f>
        <v/>
      </c>
      <c r="BW27" s="108" t="str">
        <f>IF(LEFT(F27,4)="Acro",IF(AND(N27&lt;&gt;"",M27=RIGHT(N27,2)),"X","OK"),"")</f>
        <v/>
      </c>
      <c r="BX27" s="110" t="str">
        <f t="shared" ref="BX27:CE27" si="401">IFERROR(IF(AND(LEFT($F27,4)="Acro",INDEX(Requ_App,MATCH(AV27,Requ_Code,0))="No"),"X",""),"")</f>
        <v/>
      </c>
      <c r="BY27" s="110" t="str">
        <f t="shared" si="401"/>
        <v/>
      </c>
      <c r="BZ27" s="110" t="str">
        <f t="shared" si="401"/>
        <v/>
      </c>
      <c r="CA27" s="110" t="str">
        <f t="shared" si="401"/>
        <v/>
      </c>
      <c r="CB27" s="110" t="str">
        <f t="shared" si="401"/>
        <v/>
      </c>
      <c r="CC27" s="110" t="str">
        <f t="shared" si="401"/>
        <v/>
      </c>
      <c r="CD27" s="110" t="str">
        <f t="shared" si="401"/>
        <v/>
      </c>
      <c r="CE27" s="110" t="str">
        <f t="shared" si="401"/>
        <v/>
      </c>
      <c r="CF27" s="110" t="str">
        <f>IFERROR(IF(AND(LEFT($F27,4)="Acro",INDEX(Requ_App,MATCH(BC27,Requ_Code,0))="No"),"X",""),"")</f>
        <v/>
      </c>
      <c r="CG27" s="108" t="str">
        <f t="shared" si="9"/>
        <v/>
      </c>
      <c r="CH27" s="108" t="str">
        <f t="shared" si="10"/>
        <v/>
      </c>
      <c r="CI27" s="108" t="str">
        <f t="shared" si="11"/>
        <v/>
      </c>
      <c r="CJ27" s="108" t="str">
        <f t="shared" si="12"/>
        <v/>
      </c>
      <c r="CN27" s="108">
        <f t="shared" ref="CN27" si="402">IF(AND(E28="A",OR(Q27="Grip",Q27="Conn",Q27="Catch")),"A1",IF(AND(E28="A",OR(Q27="Hula",Q27="RetSq",Q27="RetPa")),"A2",IF(AND(E28="B",OR(Q27="Twirl",Q27="RotF")),"B1",IF(AND(E28="B",OR(Q27="Moon",Q27="Mov")),"B2",IF(AND(E28="B",Q27="Hold"),"B3",IF(AND(E28="P",OR(Q27="Porp",Q27="Spitch")),"P1",IF(AND(E28="P",OR(Q27="Dive",Q27="Ps1",Q27="Ps1t0.5",Q27="Ps1op",Q27="Ps1t0,5o",Q27="Ps1t1",Q27="CH+")),"P2",IF(AND(E28="P",OR(Q27="Spider",Q27="Climb")),"P3",IF(AND(E28="P",OR(Q27="Fall",Q27="FTurn")),"P4",IF(AND(E28="C",OR(Q27="Jump",Q27="Jump&gt;",Q27="On1Foot",Q27="1F&gt;1F")),"C1",IF(AND(E28="C",OR(Q27="Run",Q27="BRun")),"C2",1)))))))))))</f>
        <v>1</v>
      </c>
      <c r="CO27" s="108">
        <f t="shared" ref="CO27" si="403">IF(AND(E28="A",OR(R27="Grip",R27="Conn",R27="Catch")),"A1",IF(AND(E28="A",OR(R27="Hula",R27="RetSq",R27="RetPa")),"A2",IF(AND(E28="B",OR(R27="Twirl",R27="RotF")),"B1",IF(AND(E28="B",OR(R27="Moon",R27="Mov")),"B3",IF(AND(E28="B",R27="Hold"),"B2",IF(AND(E28="P",OR(R27="Porp",R27="Spitch")),"P1",IF(AND(E28="P",OR(R27="Dive",R27="Ps1",R27="Ps1t0.5",R27="Ps1op",R27="Ps1t0,5o",R27="Ps1t1",R27="CH+")),"P2",IF(AND(E28="P",OR(R27="Spider",R27="Climb")),"P3",IF(AND(E28="P",OR(R27="Fall",R27="FTurn")),"P4",IF(AND(E28="C",OR(R27="Jump",R27="Jump&gt;",R27="On1Foot",R27="1F&gt;1F")),"C1",IF(AND(E28="C",OR(R27="Run",R27="BRun")),"C2",2)))))))))))</f>
        <v>2</v>
      </c>
      <c r="CP27" s="108" t="str">
        <f t="shared" ref="CP27" si="404">IF(AND(LEFT(F27,4)="Acro",Q27&lt;&gt;"",OR(Q27=R27,CN27=CO27)),IF(R27="C-Roll","","X"),IF(OR(AND(E28="A",Q27="Catch",R27&lt;&gt;"Dbl"),AND(E28="A",R27="Catch",Q27&lt;&gt;"Dbl")),"X",""))</f>
        <v/>
      </c>
      <c r="CQ27" s="108" t="str">
        <f t="shared" ref="CQ27" si="405">IF(E28="PA",J27,"")</f>
        <v/>
      </c>
      <c r="CR27" s="108">
        <v>9</v>
      </c>
      <c r="CT27" s="108" t="str">
        <f t="shared" ref="CT27" si="406">IF(AND($E28="A",COUNTIF($DC$19:$DD$68,DC27)&gt;1),DC27,"")</f>
        <v/>
      </c>
      <c r="CU27" s="108" t="str">
        <f t="shared" ref="CU27" si="407">IF(AND($E28="A",COUNTIF($DC$19:$DD$68,DD27)&gt;1),DD27,"")</f>
        <v/>
      </c>
      <c r="CV27" s="108" t="str">
        <f t="shared" ref="CV27" ca="1" si="408">IF(AND($E28="B",COUNTIF($J$19:$J$68,J27)&gt;1),J27,"")</f>
        <v/>
      </c>
      <c r="CW27" s="108" t="str">
        <f t="shared" ref="CW27" ca="1" si="409">IF(AND($E28="B",COUNTIF($K$19:$K$68,K27)&gt;1),K27,"")</f>
        <v/>
      </c>
      <c r="CX27" s="108" t="str">
        <f t="shared" ref="CX27" ca="1" si="410">IF(AND($E28="C",COUNTIF($J$19:$J$68,J27)&gt;1),J27,"")</f>
        <v/>
      </c>
      <c r="CY27" s="108" t="str">
        <f t="shared" ref="CY27" ca="1" si="411">IF(AND($E28="P",COUNTIF($J$19:$J$68,J27)&gt;1),J27,"")</f>
        <v/>
      </c>
      <c r="CZ27" s="108" t="str">
        <f t="shared" ref="CZ27" ca="1" si="412">IF(AND($E28="P",COUNTIF($K$19:$K$68,K27)&gt;1),K27,"")</f>
        <v/>
      </c>
      <c r="DA27" s="108" t="str">
        <f t="shared" ref="DA27" si="413">IF(AND($E28="P",COUNTIF($DC$19:$DD$68,DC27)&gt;1),DC27,"")</f>
        <v/>
      </c>
      <c r="DB27" s="108" t="str">
        <f t="shared" ref="DB27" si="414">IF(AND($E28="P",COUNTIF($DC$19:$DD$68,DD27)&gt;1),DD27,"")</f>
        <v/>
      </c>
      <c r="DC27" s="108" t="str">
        <f t="shared" ref="DC27" si="415">IFERROR(IF(OR(E28="A",E28="P"),M27,""),"")</f>
        <v/>
      </c>
      <c r="DD27" s="108" t="str">
        <f t="shared" ref="DD27" si="416">IFERROR(IF(OR(E28="A",E28="P"),RIGHT(N27,2),""),"")</f>
        <v/>
      </c>
      <c r="DF27" s="108" t="str">
        <f t="shared" ref="DF27" si="417">IF(AND($F$8="Open Team Acrobatic",LEFT(F27,4)="Acro"),E28,"")</f>
        <v/>
      </c>
      <c r="DG27" s="108" t="str">
        <f t="shared" ref="DG27" si="418">IFERROR(IF(HLOOKUP(DF27,$DD$12:$DG$13,2,FALSE)&gt;2,"X",""),"")</f>
        <v/>
      </c>
      <c r="DI27" s="108" t="str">
        <f t="shared" ref="DI27" si="419">IF(OR(AND(F27="Hybrid - Thrust + 2 connections",DI28="T"),AND(F27="Hybrid - Free",DI28&lt;&gt;"")),"X","")</f>
        <v/>
      </c>
      <c r="DK27" s="108">
        <f t="shared" ref="DK27" si="420">IFERROR(IF(AND($E28="H",J27&lt;&gt;""),IF(OR(LEFT(J27,1)="T",LEFT(J27,1)="S",LEFT(J27,1)="A",LEFT(J27,1)="F",LEFT(J27,1)="C"),LEFT(J27,1),"R"),DK$18),"")</f>
        <v>1</v>
      </c>
      <c r="DL27" s="108">
        <f t="shared" ref="DL27" si="421">IFERROR(IF(AND($E28="H",K27&lt;&gt;""),IF(OR(LEFT(K27,1)="T",LEFT(K27,1)="S",LEFT(K27,1)="A",LEFT(K27,1)="F",LEFT(K27,1)="C"),LEFT(K27,1),"R"),DL$18),"")</f>
        <v>2</v>
      </c>
      <c r="DM27" s="108">
        <f t="shared" ref="DM27" si="422">IFERROR(IF(AND($E28="H",L27&lt;&gt;""),IF(OR(LEFT(L27,1)="T",LEFT(L27,1)="S",LEFT(L27,1)="A",LEFT(L27,1)="F",LEFT(L27,1)="C"),LEFT(L27,1),"R"),DM$18),"")</f>
        <v>3</v>
      </c>
      <c r="DN27" s="108">
        <f t="shared" ref="DN27" si="423">IFERROR(IF(AND($E28="H",M27&lt;&gt;""),IF(OR(LEFT(M27,1)="T",LEFT(M27,1)="S",LEFT(M27,1)="A",LEFT(M27,1)="F",LEFT(M27,1)="C"),LEFT(M27,1),"R"),DN$18),"")</f>
        <v>4</v>
      </c>
      <c r="DO27" s="108">
        <f t="shared" ref="DO27" si="424">IFERROR(IF(AND($E28="H",N27&lt;&gt;""),IF(OR(LEFT(N27,1)="T",LEFT(N27,1)="S",LEFT(N27,1)="A",LEFT(N27,1)="F",LEFT(N27,1)="C"),LEFT(N27,1),"R"),DO$18),"")</f>
        <v>5</v>
      </c>
      <c r="DP27" s="108">
        <f t="shared" ref="DP27" si="425">IFERROR(IF(AND($E28="H",O27&lt;&gt;""),IF(OR(LEFT(O27,1)="T",LEFT(O27,1)="S",LEFT(O27,1)="A",LEFT(O27,1)="F",LEFT(O27,1)="C"),LEFT(O27,1),"R"),DP$18),"")</f>
        <v>6</v>
      </c>
      <c r="DQ27" s="108">
        <f t="shared" ref="DQ27" si="426">IFERROR(IF(AND($E28="H",P27&lt;&gt;""),IF(OR(LEFT(P27,1)="T",LEFT(P27,1)="S",LEFT(P27,1)="A",LEFT(P27,1)="F",LEFT(P27,1)="C"),LEFT(P27,1),"R"),DQ$18),"")</f>
        <v>7</v>
      </c>
      <c r="DR27" s="108">
        <f t="shared" ref="DR27" si="427">IFERROR(IF(AND($E28="H",Q27&lt;&gt;""),IF(OR(LEFT(Q27,1)="T",LEFT(Q27,1)="S",LEFT(Q27,1)="A",LEFT(Q27,1)="F",LEFT(Q27,1)="C"),LEFT(Q27,1),"R"),DR$18),"")</f>
        <v>8</v>
      </c>
      <c r="DS27" s="108">
        <f t="shared" ref="DS27" si="428">IFERROR(IF(AND($E28="H",R27&lt;&gt;""),IF(OR(LEFT(R27,1)="T",LEFT(R27,1)="S",LEFT(R27,1)="A",LEFT(R27,1)="F",LEFT(R27,1)="C"),LEFT(R27,1),"R"),DS$18),"")</f>
        <v>9</v>
      </c>
      <c r="DT27" s="108">
        <f t="shared" ref="DT27" si="429">IFERROR(IF(AND($E28="H",S27&lt;&gt;""),IF(OR(LEFT(S27,1)="T",LEFT(S27,1)="S",LEFT(S27,1)="A",LEFT(S27,1)="F",LEFT(S27,1)="C"),LEFT(S27,1),"R"),DT$18),"")</f>
        <v>10</v>
      </c>
      <c r="DU27" s="108">
        <f t="shared" ref="DU27" si="430">IFERROR(IF(AND($E28="H",T27&lt;&gt;""),IF(OR(LEFT(T27,1)="T",LEFT(T27,1)="S",LEFT(T27,1)="A",LEFT(T27,1)="F",LEFT(T27,1)="C"),LEFT(T27,1),"R"),DU$18),"")</f>
        <v>11</v>
      </c>
      <c r="DV27" s="108">
        <f t="shared" ref="DV27" si="431">IFERROR(IF(AND($E28="H",U27&lt;&gt;""),IF(OR(LEFT(U27,1)="T",LEFT(U27,1)="S",LEFT(U27,1)="A",LEFT(U27,1)="F",LEFT(U27,1)="C"),LEFT(U27,1),"R"),DV$18),"")</f>
        <v>12</v>
      </c>
      <c r="DW27" s="108">
        <f t="shared" ref="DW27" si="432">IFERROR(IF(AND($E28="H",V27&lt;&gt;""),IF(OR(LEFT(V27,1)="T",LEFT(V27,1)="S",LEFT(V27,1)="A",LEFT(V27,1)="F",LEFT(V27,1)="C"),LEFT(V27,1),"R"),DW$18),"")</f>
        <v>13</v>
      </c>
      <c r="DX27" s="108">
        <f t="shared" ref="DX27" si="433">IFERROR(IF(AND($E28="H",W27&lt;&gt;""),IF(OR(LEFT(W27,1)="T",LEFT(W27,1)="S",LEFT(W27,1)="A",LEFT(W27,1)="F",LEFT(W27,1)="C"),LEFT(W27,1),"R"),DX$18),"")</f>
        <v>14</v>
      </c>
      <c r="DY27" s="108">
        <f t="shared" ref="DY27" si="434">IFERROR(IF(AND($E28="H",X27&lt;&gt;""),IF(OR(LEFT(X27,1)="T",LEFT(X27,1)="S",LEFT(X27,1)="A",LEFT(X27,1)="F",LEFT(X27,1)="C"),LEFT(X27,1),"R"),DY$18),"")</f>
        <v>15</v>
      </c>
      <c r="DZ27" s="108">
        <f t="shared" ref="DZ27" si="435">IFERROR(IF(AND($E28="H",Y27&lt;&gt;""),IF(OR(LEFT(Y27,1)="T",LEFT(Y27,1)="S",LEFT(Y27,1)="A",LEFT(Y27,1)="F",LEFT(Y27,1)="C"),LEFT(Y27,1),"R"),DZ$18),"")</f>
        <v>16</v>
      </c>
      <c r="EA27" s="108">
        <f t="shared" ref="EA27" si="436">IFERROR(IF(AND($E28="H",Z27&lt;&gt;""),IF(OR(LEFT(Z27,1)="T",LEFT(Z27,1)="S",LEFT(Z27,1)="A",LEFT(Z27,1)="F",LEFT(Z27,1)="C"),LEFT(Z27,1),"R"),EA$18),"")</f>
        <v>17</v>
      </c>
      <c r="EB27" s="108">
        <f t="shared" ref="EB27" si="437">IFERROR(IF(AND($E28="H",AA27&lt;&gt;""),IF(OR(LEFT(AA27,1)="T",LEFT(AA27,1)="S",LEFT(AA27,1)="A",LEFT(AA27,1)="F",LEFT(AA27,1)="C"),LEFT(AA27,1),"R"),EB$18),"")</f>
        <v>18</v>
      </c>
      <c r="EC27" s="108">
        <f t="shared" ref="EC27" si="438">IFERROR(IF(AND($E28="H",AB27&lt;&gt;""),IF(OR(LEFT(AB27,1)="T",LEFT(AB27,1)="S",LEFT(AB27,1)="A",LEFT(AB27,1)="F",LEFT(AB27,1)="C"),LEFT(AB27,1),"R"),EC$18),"")</f>
        <v>19</v>
      </c>
      <c r="ED27" s="108">
        <f t="shared" ref="ED27" si="439">IFERROR(IF(AND($E28="H",AC27&lt;&gt;""),IF(OR(LEFT(AC27,1)="T",LEFT(AC27,1)="S",LEFT(AC27,1)="A",LEFT(AC27,1)="F",LEFT(AC27,1)="C"),LEFT(AC27,1),"R"),ED$18),"")</f>
        <v>20</v>
      </c>
      <c r="EE27" s="108"/>
      <c r="EF27" s="108"/>
      <c r="EG27" s="108">
        <f t="shared" ref="EG27:EZ27" si="440">IFERROR(IF(J27&lt;&gt;"",UPPER(J27),EG$18),EG$18)</f>
        <v>1</v>
      </c>
      <c r="EH27" s="108">
        <f t="shared" si="440"/>
        <v>2</v>
      </c>
      <c r="EI27" s="108">
        <f t="shared" si="440"/>
        <v>3</v>
      </c>
      <c r="EJ27" s="108">
        <f t="shared" si="440"/>
        <v>4</v>
      </c>
      <c r="EK27" s="108">
        <f t="shared" si="440"/>
        <v>5</v>
      </c>
      <c r="EL27" s="108">
        <f t="shared" si="440"/>
        <v>6</v>
      </c>
      <c r="EM27" s="108">
        <f t="shared" si="440"/>
        <v>7</v>
      </c>
      <c r="EN27" s="108">
        <f t="shared" si="440"/>
        <v>8</v>
      </c>
      <c r="EO27" s="108">
        <f t="shared" si="440"/>
        <v>9</v>
      </c>
      <c r="EP27" s="108">
        <f t="shared" si="440"/>
        <v>10</v>
      </c>
      <c r="EQ27" s="108">
        <f t="shared" si="440"/>
        <v>11</v>
      </c>
      <c r="ER27" s="108">
        <f t="shared" si="440"/>
        <v>12</v>
      </c>
      <c r="ES27" s="108">
        <f t="shared" si="440"/>
        <v>13</v>
      </c>
      <c r="ET27" s="108">
        <f t="shared" si="440"/>
        <v>14</v>
      </c>
      <c r="EU27" s="108">
        <f t="shared" si="440"/>
        <v>15</v>
      </c>
      <c r="EV27" s="108">
        <f t="shared" si="440"/>
        <v>16</v>
      </c>
      <c r="EW27" s="108">
        <f t="shared" si="440"/>
        <v>17</v>
      </c>
      <c r="EX27" s="108">
        <f t="shared" si="440"/>
        <v>18</v>
      </c>
      <c r="EY27" s="108">
        <f t="shared" si="440"/>
        <v>19</v>
      </c>
      <c r="EZ27" s="108">
        <f t="shared" si="440"/>
        <v>20</v>
      </c>
      <c r="FA27" s="108"/>
      <c r="FB27" s="108">
        <f t="shared" ref="FB27" si="441">COUNTIF($DK27:$ED27,FB$18)</f>
        <v>0</v>
      </c>
      <c r="FC27" s="108">
        <f t="shared" si="15"/>
        <v>0</v>
      </c>
      <c r="FD27" s="108">
        <f t="shared" si="15"/>
        <v>0</v>
      </c>
      <c r="FE27" s="108">
        <f t="shared" si="15"/>
        <v>0</v>
      </c>
      <c r="FF27" s="108">
        <f t="shared" si="15"/>
        <v>0</v>
      </c>
      <c r="FG27" s="108">
        <f t="shared" si="15"/>
        <v>0</v>
      </c>
      <c r="FH27" s="108"/>
      <c r="FI27" s="108" t="str">
        <f t="shared" ref="FI27" si="442">IF(AND($F27="Hybrid - Thrust + 2 connections",FI28=0,LEFT($J27,1)="C",LEFT($K27,1)="C",LEFT($L27,1)="C"),"X","")</f>
        <v/>
      </c>
      <c r="FJ27" s="108"/>
      <c r="FL27" s="120" t="e">
        <f>IF(OR(LEFT(#REF!,2)="PL",LEFT(#REF!,2)="PL",LEFT(#REF!,2)="PL",LEFT(#REF!,2)="PL",LEFT(#REF!,2)="PL"),IF($BS$17-BR27&gt;$FL$17,"X",""),"")</f>
        <v>#REF!</v>
      </c>
      <c r="FM27" s="120"/>
      <c r="FN27" s="111" t="str">
        <f>IF(E28=3,_xlfn.NUMBERVALUE(LEFT(J27,1)),"")</f>
        <v/>
      </c>
    </row>
    <row r="28" spans="1:170" ht="12.75" x14ac:dyDescent="0.25">
      <c r="A28" s="40"/>
      <c r="B28" s="41"/>
      <c r="C28" s="41"/>
      <c r="D28" s="41"/>
      <c r="E28" s="21" t="str">
        <f>IF(F27="Acrobatic - Pair","PA",IF(F27="Acrobatic Airborn","A",IF(F27="Acrobatic Balance","B",IF(F27="Acrobatic Combined","C",IF(F27="Acrobatic Platform","P",IF(F27="Technical Required Element",3,IF(LEFT(F27,4)="Hybr","H","")))))))</f>
        <v/>
      </c>
      <c r="F28" s="21" t="str">
        <f>IF(AND(F27="Hybrid - Thrust + 2 connections",BU27="X"),"Hybrid - Thrust",IF(OR(E28="A",E28="B",E28="C",E28="P"),"Acrobatic",""))</f>
        <v/>
      </c>
      <c r="G28" s="43"/>
      <c r="H28" s="222" t="str">
        <f t="shared" ref="H28" si="443">IF(E28="PA",IF(OR(LEFT(J27,1)="L",LEFT(J27,1)="S"),"A-Pair-Lift",IF(OR(LEFT(J27,1)="W",LEFT(J27,1)="T"),"A-Pair-Throw",IF(LEFT(J27,1)="J","A-Pair-Jump","A-Pair"))),IF(OR(E28="A",E28="B",E28="C",E28="P"),CONCATENATE("Acro-",E28),""))</f>
        <v/>
      </c>
      <c r="I28" s="216" t="e">
        <f t="shared" ref="I28" si="444">IF(OR(F27="Hybrid - min 4 swimmers (no DD)",LEFT(F27,5)="Trans"),0,INDEX($BV$3:$BV$9,MATCH(E28,$BU$3:$BU$9,0)))</f>
        <v>#N/A</v>
      </c>
      <c r="J28" s="210">
        <f t="shared" ref="J28" ca="1" si="445">IFERROR(IF($H27="No DD",0,IF(OR(ISBLANK(J27),J27="N/A"),0,INDEX(INDIRECT(AV28),MATCH(J27,INDIRECT(AV27),0)))),0)</f>
        <v>0</v>
      </c>
      <c r="K28" s="210">
        <f t="shared" ref="K28" ca="1" si="446">IFERROR(IF($H27="No DD",0,IF(OR(ISBLANK(K27),K27="N/A"),0,INDEX(INDIRECT(AW28),MATCH(K27,INDIRECT(AW27),0)))),0)</f>
        <v>0</v>
      </c>
      <c r="L28" s="210">
        <f t="shared" ref="L28" ca="1" si="447">IFERROR(IF($H27="No DD",0,IF(OR(ISBLANK(L27),L27="N/A"),0,INDEX(INDIRECT(AX28),MATCH(L27,INDIRECT(AX27),0)))),0)</f>
        <v>0</v>
      </c>
      <c r="M28" s="210">
        <f t="shared" ref="M28" ca="1" si="448">IFERROR(IF($H27="No DD",0,IF(OR(ISBLANK(M27),M27="N/A"),0,INDEX(INDIRECT(AY28),MATCH(M27,INDIRECT(AY27),0)))),0)</f>
        <v>0</v>
      </c>
      <c r="N28" s="210">
        <f t="shared" ref="N28" ca="1" si="449">IFERROR(IF($H27="No DD",0,IF(OR(ISBLANK(N27),N27="N/A"),0,INDEX(INDIRECT(AZ28),MATCH(N27,INDIRECT(AZ27),0)))),0)</f>
        <v>0</v>
      </c>
      <c r="O28" s="210">
        <f t="shared" ref="O28" ca="1" si="450">IFERROR(IF($H27="No DD",0,IF(OR(ISBLANK(O27),O27="N/A"),0,INDEX(INDIRECT(BA28),MATCH(O27,INDIRECT(BA27),0)))),0)</f>
        <v>0</v>
      </c>
      <c r="P28" s="210">
        <f t="shared" ref="P28" ca="1" si="451">IFERROR(IF($H27="No DD",0,IF(OR(ISBLANK(P27),P27="N/A"),0,INDEX(INDIRECT(BB28),MATCH(P27,INDIRECT(BB27),0)))),0)</f>
        <v>0</v>
      </c>
      <c r="Q28" s="210">
        <f t="shared" ref="Q28" ca="1" si="452">IFERROR(IF($H27="No DD",0,IF(OR(ISBLANK(Q27),Q27="N/A"),0,INDEX(INDIRECT(BC28),MATCH(Q27,INDIRECT(BC27),0)))),0)</f>
        <v>0</v>
      </c>
      <c r="R28" s="210">
        <f t="shared" ref="R28" ca="1" si="453">IFERROR(IF($H27="No DD",0,IF(OR(ISBLANK(R27),R27="N/A"),0,INDEX(INDIRECT(BD28),MATCH(R27,INDIRECT(BD27),0)))),0)</f>
        <v>0</v>
      </c>
      <c r="S28" s="210">
        <f t="shared" ref="S28" ca="1" si="454">IFERROR(IF($H27="No DD",0,IF(OR(ISBLANK(S27),S27="N/A"),0,INDEX(INDIRECT(BE28),MATCH(S27,INDIRECT(BE27),0)))),0)</f>
        <v>0</v>
      </c>
      <c r="T28" s="210">
        <f t="shared" ref="T28" ca="1" si="455">IFERROR(IF($H27="No DD",0,IF(OR(ISBLANK(T27),T27="N/A"),0,INDEX(INDIRECT(BF28),MATCH(T27,INDIRECT(BF27),0)))),0)</f>
        <v>0</v>
      </c>
      <c r="U28" s="210">
        <f t="shared" ref="U28" ca="1" si="456">IFERROR(IF($H27="No DD",0,IF(OR(ISBLANK(U27),U27="N/A"),0,INDEX(INDIRECT(BG28),MATCH(U27,INDIRECT(BG27),0)))),0)</f>
        <v>0</v>
      </c>
      <c r="V28" s="210">
        <f t="shared" ref="V28" ca="1" si="457">IFERROR(IF($H27="No DD",0,IF(OR(ISBLANK(V27),V27="N/A"),0,INDEX(INDIRECT(BH28),MATCH(V27,INDIRECT(BH27),0)))),0)</f>
        <v>0</v>
      </c>
      <c r="W28" s="210">
        <f t="shared" ref="W28" ca="1" si="458">IFERROR(IF($H27="No DD",0,IF(OR(ISBLANK(W27),W27="N/A"),0,INDEX(INDIRECT(BI28),MATCH(W27,INDIRECT(BI27),0)))),0)</f>
        <v>0</v>
      </c>
      <c r="X28" s="210">
        <f t="shared" ref="X28" ca="1" si="459">IFERROR(IF($H27="No DD",0,IF(OR(ISBLANK(X27),X27="N/A"),0,INDEX(INDIRECT(BJ28),MATCH(X27,INDIRECT(BJ27),0)))),0)</f>
        <v>0</v>
      </c>
      <c r="Y28" s="210">
        <f t="shared" ref="Y28" ca="1" si="460">IFERROR(IF($H27="No DD",0,IF(OR(ISBLANK(Y27),Y27="N/A"),0,INDEX(INDIRECT(BK28),MATCH(Y27,INDIRECT(BK27),0)))),0)</f>
        <v>0</v>
      </c>
      <c r="Z28" s="210">
        <f t="shared" ref="Z28" ca="1" si="461">IFERROR(IF($H27="No DD",0,IF(OR(ISBLANK(Z27),Z27="N/A"),0,INDEX(INDIRECT(BL28),MATCH(Z27,INDIRECT(BL27),0)))),0)</f>
        <v>0</v>
      </c>
      <c r="AA28" s="210">
        <f t="shared" ref="AA28" ca="1" si="462">IFERROR(IF($H27="No DD",0,IF(OR(ISBLANK(AA27),AA27="N/A"),0,INDEX(INDIRECT(BM28),MATCH(AA27,INDIRECT(BM27),0)))),0)</f>
        <v>0</v>
      </c>
      <c r="AB28" s="210">
        <f t="shared" ref="AB28" ca="1" si="463">IFERROR(IF($H27="No DD",0,IF(OR(ISBLANK(AB27),AB27="N/A"),0,INDEX(INDIRECT(BN28),MATCH(AB27,INDIRECT(BN27),0)))),0)</f>
        <v>0</v>
      </c>
      <c r="AC28" s="210">
        <f t="shared" ref="AC28" ca="1" si="464">IFERROR(IF($H27="No DD",0,IF(OR(ISBLANK(AC27),AC27="N/A"),0,INDEX(INDIRECT(BO28),MATCH(AC27,INDIRECT(BO27),0)))),0)</f>
        <v>0</v>
      </c>
      <c r="AD28" s="211" t="str">
        <f>IFERROR(IF(E28="H",INDEX(HybridBonus_Value,MATCH(AD27,HybridBonus_Code,0)),""),"")</f>
        <v/>
      </c>
      <c r="AE28" s="209" t="str">
        <f t="shared" ref="AE28" si="465">IFERROR(IF(J27&lt;&gt;"",SUM(I28:AD28),""),"")</f>
        <v/>
      </c>
      <c r="AF28" s="76"/>
      <c r="AG28" s="76"/>
      <c r="AH28" s="121"/>
      <c r="AI28" s="121"/>
      <c r="AJ28" s="121"/>
      <c r="AK28" s="121"/>
      <c r="AL28" s="121"/>
      <c r="AM28" s="121"/>
      <c r="AN28" s="121"/>
      <c r="AO28" s="121"/>
      <c r="AP28" s="121"/>
      <c r="AQ28" s="121"/>
      <c r="AR28" s="121"/>
      <c r="AS28" s="121"/>
      <c r="AT28" s="110"/>
      <c r="AU28" s="121"/>
      <c r="AV28" s="111" t="str">
        <f t="shared" ref="AV28" si="466">IF($E28="H","HybridDD_Value",IF($E28=3,"TreDD_Value",IF($E28="PA","AcroPair_Value",IF(LEFT($F27,4)="Acro",CONCATENATE(AV$16,$E28,"_Value"),""))))</f>
        <v/>
      </c>
      <c r="AW28" s="111" t="str">
        <f t="shared" ref="AW28:AX28" si="467">IF($E28="H","HybridDD_Value",IF($E28=3,"",IF(LEFT($F27,4)="Acro",CONCATENATE(AW$16,$E28,"_Value"),IF($E28="PA","",""))))</f>
        <v/>
      </c>
      <c r="AX28" s="111" t="str">
        <f t="shared" si="467"/>
        <v/>
      </c>
      <c r="AY28" s="111" t="str">
        <f t="shared" ref="AY28:BD28" si="468">IF($E28="H","HybridDD_Value",IF($E28=3,"",IF(LEFT($F27,4)="Acro",CONCATENATE(AY$16,$E28,"_Value"),IF($E28="PA","",""))))</f>
        <v/>
      </c>
      <c r="AZ28" s="111" t="str">
        <f t="shared" si="468"/>
        <v/>
      </c>
      <c r="BA28" s="111" t="str">
        <f t="shared" si="468"/>
        <v/>
      </c>
      <c r="BB28" s="111" t="str">
        <f t="shared" si="468"/>
        <v/>
      </c>
      <c r="BC28" s="111" t="str">
        <f t="shared" si="468"/>
        <v/>
      </c>
      <c r="BD28" s="111" t="str">
        <f t="shared" si="468"/>
        <v/>
      </c>
      <c r="BE28" s="110" t="str">
        <f t="shared" ref="BE28" si="469">IF($E28="H","HybridDD_Value","Data!$BI$1:$BI$5")</f>
        <v>Data!$BI$1:$BI$5</v>
      </c>
      <c r="BF28" s="110" t="str">
        <f t="shared" si="7"/>
        <v>Data!$BI$1:$BI$5</v>
      </c>
      <c r="BG28" s="110" t="str">
        <f t="shared" si="7"/>
        <v>Data!$BI$1:$BI$5</v>
      </c>
      <c r="BH28" s="110" t="str">
        <f t="shared" si="7"/>
        <v>Data!$BI$1:$BI$5</v>
      </c>
      <c r="BI28" s="110" t="str">
        <f t="shared" si="7"/>
        <v>Data!$BI$1:$BI$5</v>
      </c>
      <c r="BJ28" s="110" t="str">
        <f t="shared" si="7"/>
        <v>Data!$BI$1:$BI$5</v>
      </c>
      <c r="BK28" s="110" t="str">
        <f t="shared" si="7"/>
        <v>Data!$BI$1:$BI$5</v>
      </c>
      <c r="BL28" s="110" t="str">
        <f t="shared" si="7"/>
        <v>Data!$BI$1:$BI$5</v>
      </c>
      <c r="BM28" s="110" t="str">
        <f t="shared" si="7"/>
        <v>Data!$BI$1:$BI$5</v>
      </c>
      <c r="BN28" s="110" t="str">
        <f t="shared" si="7"/>
        <v>Data!$BI$1:$BI$5</v>
      </c>
      <c r="BO28" s="110" t="str">
        <f t="shared" si="7"/>
        <v>Data!$BI$1:$BI$5</v>
      </c>
      <c r="BP28" s="121"/>
      <c r="BQ28" s="121"/>
      <c r="BR28" s="122" t="str">
        <f>IFERROR(IF(AND($BS$6="T",$BS$8="T",LEFT(F27,4)="Acro",AE28&gt;3),"X",IF($N$7="X",IF(AND(E28="C",AE28&gt;$CA$6),"X",IF(AND(E28="A",AE28&gt;$CA$4),"X",IF(AND(E28="B",AE28&gt;$CA$5),"X",IF(AND(E28="P",AE28&gt;$CA$7),"X","")))),"")),"")</f>
        <v/>
      </c>
      <c r="BS28" s="114"/>
      <c r="BU28" s="108"/>
      <c r="CA28" s="111"/>
      <c r="CB28" s="111"/>
      <c r="CC28" s="111"/>
      <c r="CG28" s="108" t="str">
        <f t="shared" si="9"/>
        <v/>
      </c>
      <c r="CH28" s="108" t="str">
        <f t="shared" si="10"/>
        <v/>
      </c>
      <c r="CI28" s="108" t="str">
        <f t="shared" si="11"/>
        <v/>
      </c>
      <c r="CJ28" s="108" t="str">
        <f t="shared" si="12"/>
        <v/>
      </c>
      <c r="CR28" s="108">
        <v>10</v>
      </c>
      <c r="DI28" s="108" t="str" cm="1">
        <f t="array" ref="DI28">IFERROR(INDEX(DK28:ED28,MATCH(TRUE,INDEX((DK28:ED28&lt;&gt;""),),0)),"")</f>
        <v/>
      </c>
      <c r="DK28" s="108" t="str">
        <f t="shared" ref="DK28" si="470">IF(F27="Hybrid - Thrust + 2 connections",IF(COUNTIF($DK27:$ED27,DK27)&gt;1,DK27,""),IF(COUNTIF($DK27:$ED27,DK27)&gt;5,DK27,""))</f>
        <v/>
      </c>
      <c r="DL28" s="108" t="str">
        <f t="shared" ref="DL28" si="471">IF(G27="Hybrid - Thrust + 2 connections",IF(COUNTIF($DK27:$ED27,DL27)&gt;1,DL27,""),IF(COUNTIF($DK27:$ED27,DL27)&gt;5,DL27,""))</f>
        <v/>
      </c>
      <c r="DM28" s="108" t="str">
        <f t="shared" ref="DM28" si="472">IF(H27="Hybrid - Thrust + 2 connections",IF(COUNTIF($DK27:$ED27,DM27)&gt;1,DM27,""),IF(COUNTIF($DK27:$ED27,DM27)&gt;5,DM27,""))</f>
        <v/>
      </c>
      <c r="DN28" s="108" t="str">
        <f t="shared" ref="DN28" si="473">IF(I27="Hybrid - Thrust + 2 connections",IF(COUNTIF($DK27:$ED27,DN27)&gt;1,DN27,""),IF(COUNTIF($DK27:$ED27,DN27)&gt;5,DN27,""))</f>
        <v/>
      </c>
      <c r="DO28" s="108" t="str">
        <f t="shared" ref="DO28" si="474">IF(J27="Hybrid - Thrust + 2 connections",IF(COUNTIF($DK27:$ED27,DO27)&gt;1,DO27,""),IF(COUNTIF($DK27:$ED27,DO27)&gt;5,DO27,""))</f>
        <v/>
      </c>
      <c r="DP28" s="108" t="str">
        <f t="shared" ref="DP28" si="475">IF(K27="Hybrid - Thrust + 2 connections",IF(COUNTIF($DK27:$ED27,DP27)&gt;1,DP27,""),IF(COUNTIF($DK27:$ED27,DP27)&gt;5,DP27,""))</f>
        <v/>
      </c>
      <c r="DQ28" s="108" t="str">
        <f t="shared" ref="DQ28" si="476">IF(L27="Hybrid - Thrust + 2 connections",IF(COUNTIF($DK27:$ED27,DQ27)&gt;1,DQ27,""),IF(COUNTIF($DK27:$ED27,DQ27)&gt;5,DQ27,""))</f>
        <v/>
      </c>
      <c r="DR28" s="108" t="str">
        <f t="shared" ref="DR28" si="477">IF(M27="Hybrid - Thrust + 2 connections",IF(COUNTIF($DK27:$ED27,DR27)&gt;1,DR27,""),IF(COUNTIF($DK27:$ED27,DR27)&gt;5,DR27,""))</f>
        <v/>
      </c>
      <c r="DS28" s="108" t="str">
        <f t="shared" ref="DS28" si="478">IF(N27="Hybrid - Thrust + 2 connections",IF(COUNTIF($DK27:$ED27,DS27)&gt;1,DS27,""),IF(COUNTIF($DK27:$ED27,DS27)&gt;5,DS27,""))</f>
        <v/>
      </c>
      <c r="DT28" s="108" t="str">
        <f t="shared" ref="DT28" si="479">IF(O27="Hybrid - Thrust + 2 connections",IF(COUNTIF($DK27:$ED27,DT27)&gt;1,DT27,""),IF(COUNTIF($DK27:$ED27,DT27)&gt;5,DT27,""))</f>
        <v/>
      </c>
      <c r="DU28" s="108" t="str">
        <f t="shared" ref="DU28" si="480">IF(P27="Hybrid - Thrust + 2 connections",IF(COUNTIF($DK27:$ED27,DU27)&gt;1,DU27,""),IF(COUNTIF($DK27:$ED27,DU27)&gt;5,DU27,""))</f>
        <v/>
      </c>
      <c r="DV28" s="108" t="str">
        <f t="shared" ref="DV28" si="481">IF(Q27="Hybrid - Thrust + 2 connections",IF(COUNTIF($DK27:$ED27,DV27)&gt;1,DV27,""),IF(COUNTIF($DK27:$ED27,DV27)&gt;5,DV27,""))</f>
        <v/>
      </c>
      <c r="DW28" s="108" t="str">
        <f t="shared" ref="DW28" si="482">IF(R27="Hybrid - Thrust + 2 connections",IF(COUNTIF($DK27:$ED27,DW27)&gt;1,DW27,""),IF(COUNTIF($DK27:$ED27,DW27)&gt;5,DW27,""))</f>
        <v/>
      </c>
      <c r="DX28" s="108" t="str">
        <f t="shared" ref="DX28" si="483">IF(S27="Hybrid - Thrust + 2 connections",IF(COUNTIF($DK27:$ED27,DX27)&gt;1,DX27,""),IF(COUNTIF($DK27:$ED27,DX27)&gt;5,DX27,""))</f>
        <v/>
      </c>
      <c r="DY28" s="108" t="str">
        <f t="shared" ref="DY28" si="484">IF(T27="Hybrid - Thrust + 2 connections",IF(COUNTIF($DK27:$ED27,DY27)&gt;1,DY27,""),IF(COUNTIF($DK27:$ED27,DY27)&gt;5,DY27,""))</f>
        <v/>
      </c>
      <c r="DZ28" s="108" t="str">
        <f t="shared" ref="DZ28" si="485">IF(U27="Hybrid - Thrust + 2 connections",IF(COUNTIF($DK27:$ED27,DZ27)&gt;1,DZ27,""),IF(COUNTIF($DK27:$ED27,DZ27)&gt;5,DZ27,""))</f>
        <v/>
      </c>
      <c r="EA28" s="108" t="str">
        <f t="shared" ref="EA28" si="486">IF(V27="Hybrid - Thrust + 2 connections",IF(COUNTIF($DK27:$ED27,EA27)&gt;1,EA27,""),IF(COUNTIF($DK27:$ED27,EA27)&gt;5,EA27,""))</f>
        <v/>
      </c>
      <c r="EB28" s="108" t="str">
        <f t="shared" ref="EB28" si="487">IF(W27="Hybrid - Thrust + 2 connections",IF(COUNTIF($DK27:$ED27,EB27)&gt;1,EB27,""),IF(COUNTIF($DK27:$ED27,EB27)&gt;5,EB27,""))</f>
        <v/>
      </c>
      <c r="EC28" s="108" t="str">
        <f t="shared" ref="EC28" si="488">IF(X27="Hybrid - Thrust + 2 connections",IF(COUNTIF($DK27:$ED27,EC27)&gt;1,EC27,""),IF(COUNTIF($DK27:$ED27,EC27)&gt;5,EC27,""))</f>
        <v/>
      </c>
      <c r="ED28" s="108" t="str">
        <f t="shared" ref="ED28" si="489">IF(Y27="Hybrid - Thrust + 2 connections",IF(COUNTIF($DK27:$ED27,ED27)&gt;1,ED27,""),IF(COUNTIF($DK27:$ED27,ED27)&gt;5,ED27,""))</f>
        <v/>
      </c>
      <c r="EE28" s="108"/>
      <c r="EF28" s="108" t="str" cm="1">
        <f t="array" ref="EF28">IFERROR(INDEX(EG28:EZ28,MATCH(TRUE,INDEX((EG28:EZ28&lt;&gt;""),),0)),"")</f>
        <v/>
      </c>
      <c r="EG28" s="108" t="str">
        <f t="shared" ref="EG28" si="490">IF(COUNTIF($EG27:$EZ27,EG27)&gt;3,EG27,"")</f>
        <v/>
      </c>
      <c r="EH28" s="108" t="str">
        <f t="shared" ref="EH28" si="491">IF(COUNTIF($EG27:$EZ27,EH27)&gt;3,EH27,"")</f>
        <v/>
      </c>
      <c r="EI28" s="108" t="str">
        <f t="shared" ref="EI28" si="492">IF(COUNTIF($EG27:$EZ27,EI27)&gt;3,EI27,"")</f>
        <v/>
      </c>
      <c r="EJ28" s="108" t="str">
        <f t="shared" ref="EJ28" si="493">IF(COUNTIF($EG27:$EZ27,EJ27)&gt;3,EJ27,"")</f>
        <v/>
      </c>
      <c r="EK28" s="108" t="str">
        <f t="shared" ref="EK28" si="494">IF(COUNTIF($EG27:$EZ27,EK27)&gt;3,EK27,"")</f>
        <v/>
      </c>
      <c r="EL28" s="108" t="str">
        <f t="shared" ref="EL28" si="495">IF(COUNTIF($EG27:$EZ27,EL27)&gt;3,EL27,"")</f>
        <v/>
      </c>
      <c r="EM28" s="108" t="str">
        <f t="shared" ref="EM28" si="496">IF(COUNTIF($EG27:$EZ27,EM27)&gt;3,EM27,"")</f>
        <v/>
      </c>
      <c r="EN28" s="108" t="str">
        <f t="shared" ref="EN28" si="497">IF(COUNTIF($EG27:$EZ27,EN27)&gt;3,EN27,"")</f>
        <v/>
      </c>
      <c r="EO28" s="108" t="str">
        <f t="shared" ref="EO28" si="498">IF(COUNTIF($EG27:$EZ27,EO27)&gt;3,EO27,"")</f>
        <v/>
      </c>
      <c r="EP28" s="108" t="str">
        <f t="shared" ref="EP28" si="499">IF(COUNTIF($EG27:$EZ27,EP27)&gt;3,EP27,"")</f>
        <v/>
      </c>
      <c r="EQ28" s="108" t="str">
        <f t="shared" ref="EQ28" si="500">IF(COUNTIF($EG27:$EZ27,EQ27)&gt;3,EQ27,"")</f>
        <v/>
      </c>
      <c r="ER28" s="108" t="str">
        <f t="shared" ref="ER28" si="501">IF(COUNTIF($EG27:$EZ27,ER27)&gt;3,ER27,"")</f>
        <v/>
      </c>
      <c r="ES28" s="108" t="str">
        <f t="shared" ref="ES28" si="502">IF(COUNTIF($EG27:$EZ27,ES27)&gt;3,ES27,"")</f>
        <v/>
      </c>
      <c r="ET28" s="108" t="str">
        <f t="shared" ref="ET28" si="503">IF(COUNTIF($EG27:$EZ27,ET27)&gt;3,ET27,"")</f>
        <v/>
      </c>
      <c r="EU28" s="108" t="str">
        <f t="shared" ref="EU28" si="504">IF(COUNTIF($EG27:$EZ27,EU27)&gt;3,EU27,"")</f>
        <v/>
      </c>
      <c r="EV28" s="108" t="str">
        <f t="shared" ref="EV28" si="505">IF(COUNTIF($EG27:$EZ27,EV27)&gt;3,EV27,"")</f>
        <v/>
      </c>
      <c r="EW28" s="108" t="str">
        <f t="shared" ref="EW28" si="506">IF(COUNTIF($EG27:$EZ27,EW27)&gt;3,EW27,"")</f>
        <v/>
      </c>
      <c r="EX28" s="108" t="str">
        <f t="shared" ref="EX28" si="507">IF(COUNTIF($EG27:$EZ27,EX27)&gt;3,EX27,"")</f>
        <v/>
      </c>
      <c r="EY28" s="108" t="str">
        <f t="shared" ref="EY28" si="508">IF(COUNTIF($EG27:$EZ27,EY27)&gt;3,EY27,"")</f>
        <v/>
      </c>
      <c r="EZ28" s="108" t="str">
        <f t="shared" ref="EZ28" si="509">IF(COUNTIF($EG27:$EZ27,EZ27)&gt;3,EZ27,"")</f>
        <v/>
      </c>
      <c r="FA28" s="108"/>
      <c r="FB28" s="108"/>
      <c r="FC28" s="108"/>
      <c r="FD28" s="108"/>
      <c r="FE28" s="108"/>
      <c r="FF28" s="108"/>
      <c r="FG28" s="108"/>
      <c r="FH28" s="108"/>
      <c r="FI28" s="108" t="str">
        <f t="shared" ref="FI28" si="510">IF($F27="Hybrid - Thrust + 2 connections",COUNTBLANK(J27:L27),"")</f>
        <v/>
      </c>
      <c r="FJ28" s="108"/>
      <c r="FN28" s="111"/>
    </row>
    <row r="29" spans="1:170" ht="12.75" x14ac:dyDescent="0.25">
      <c r="A29" s="40" t="str">
        <f>IF(AND(E27="",A27&lt;&gt;""),IF(BS27=$BS$18,"",IF(C27&lt;&gt;"",IF(D27=59,MINUTE(BS27)+1,MINUTE(BS27)),"")),"")</f>
        <v/>
      </c>
      <c r="B29" s="41" t="str">
        <f>IF(AND(E27="",B27&lt;&gt;""),IF(BS27=$BS$18,"",IF(C27&lt;&gt;"",IF(D27=59,0,SECOND(BS27)+1),"")),"")</f>
        <v/>
      </c>
      <c r="C29" s="51"/>
      <c r="D29" s="51"/>
      <c r="E29" s="9"/>
      <c r="F29" s="52"/>
      <c r="G29" s="43" t="str">
        <f>IF(F29&lt;&gt;"",IF(OR(F29="Transition",F29="Transition - Surface Connection"),0,MAX($G$19:G28)+1),"")</f>
        <v/>
      </c>
      <c r="H29" s="57" t="str">
        <f t="shared" ref="H29" si="511">IFERROR(IF(E30="3","",IF(OR(F29="Hybrid - min 4 swimmers (no DD)",LEFT(F29,5)="Trans"),"No DD",CONCATENATE("BM = ",I30))),"")</f>
        <v/>
      </c>
      <c r="I29" s="58"/>
      <c r="J29" s="130"/>
      <c r="K29" s="137"/>
      <c r="L29" s="137"/>
      <c r="M29" s="137"/>
      <c r="N29" s="137"/>
      <c r="O29" s="137"/>
      <c r="P29" s="137"/>
      <c r="Q29" s="137"/>
      <c r="R29" s="137"/>
      <c r="S29" s="137"/>
      <c r="T29" s="137"/>
      <c r="U29" s="137"/>
      <c r="V29" s="137"/>
      <c r="W29" s="137"/>
      <c r="X29" s="137"/>
      <c r="Y29" s="137"/>
      <c r="Z29" s="137"/>
      <c r="AA29" s="137"/>
      <c r="AB29" s="137"/>
      <c r="AC29" s="137"/>
      <c r="AD29" s="191"/>
      <c r="AE29" s="44"/>
      <c r="AF29" s="75"/>
      <c r="AG29" s="75"/>
      <c r="AH29" s="110"/>
      <c r="AI29" s="110"/>
      <c r="AJ29" s="110"/>
      <c r="AK29" s="110"/>
      <c r="AL29" s="110"/>
      <c r="AM29" s="110"/>
      <c r="AN29" s="110"/>
      <c r="AO29" s="110"/>
      <c r="AP29" s="110"/>
      <c r="AQ29" s="110"/>
      <c r="AR29" s="110"/>
      <c r="AS29" s="110"/>
      <c r="AT29" s="110" t="str">
        <f>IFERROR(IF(F29&lt;&gt;"",INDEX(Parts_Active,MATCH(F29,Parts_Active,0)),""),"No")</f>
        <v/>
      </c>
      <c r="AU29" s="110"/>
      <c r="AV29" s="110" t="str">
        <f t="shared" ref="AV29" si="512">IF($E30="H",IF($F29="Hybrid - Thrust + 2 connections","Hybrid_Mix_Req","HybridDD_Code"),IF($E30=3,"TreDD_Code",IF($E30="PA","AcroPair_Code",IF(LEFT($F29,4)="Acro",CONCATENATE(AV$16,$E30,"_Code"),"Data!$BI$1:$BI$5"))))</f>
        <v>Data!$BI$1:$BI$5</v>
      </c>
      <c r="AW29" s="110" t="str">
        <f t="shared" ref="AW29" si="513">IF($E30="H",IF($F29="Hybrid - Thrust + 2 connections","Hybrid_Mix_Req","HybridDD_Code"),IF($E30=3,"TreDD_Code",IF($E30="PA","AcroPair_Code",IF(LEFT($F29,4)="Acro",CONCATENATE(AW$16,$E30,"_Code"),"Data!$BI$1:$BI$5"))))</f>
        <v>Data!$BI$1:$BI$5</v>
      </c>
      <c r="AX29" s="110" t="str">
        <f t="shared" ref="AX29" si="514">IF($E30="H",IF($F29="Hybrid - Thrust + 2 connections","Hybrid_Mix_Req","HybridDD_Code"),IF($E30=3,"TreDD_Code",IF($E30="PA","AcroPair_Code",IF(LEFT($F29,4)="Acro",CONCATENATE(AX$16,$E30,"_Code"),"Data!$BI$1:$BI$5"))))</f>
        <v>Data!$BI$1:$BI$5</v>
      </c>
      <c r="AY29" s="110" t="str">
        <f t="shared" ref="AY29" si="515">IF($E30="H",IF($F29="Hybrid - Thrust + 2 connections","Data!$BI$1:$BI$5","HybridDD_Code"),IF($E30=3,"Data!$BI$1:$BI$5",IF(LEFT($F29,4)="Acro",CONCATENATE(AY$16,$E30,"_Code"),IF($E30="PA","","Data!$BI$1:$BI$5"))))</f>
        <v>Data!$BI$1:$BI$5</v>
      </c>
      <c r="AZ29" s="110" t="str">
        <f t="shared" ref="AZ29" si="516">IF($E30="H",IF($F29="Hybrid - Thrust + 2 connections","Data!$BI$1:$BI$5","HybridDD_Code"),IF($E30=3,"Data!$BI$1:$BI$5",IF(LEFT($F29,4)="Acro",CONCATENATE(AZ$16,$E30,"_Code"),IF($E30="PA","","Data!$BI$1:$BI$5"))))</f>
        <v>Data!$BI$1:$BI$5</v>
      </c>
      <c r="BA29" s="110" t="str">
        <f t="shared" ref="BA29" si="517">IF($E30="H",IF($F29="Hybrid - Thrust + 2 connections","Data!$BI$1:$BI$5","HybridDD_Code"),IF($E30=3,"Data!$BI$1:$BI$5",IF(LEFT($F29,4)="Acro",CONCATENATE(BA$16,$E30,"_Code"),IF($E30="PA","","Data!$BI$1:$BI$5"))))</f>
        <v>Data!$BI$1:$BI$5</v>
      </c>
      <c r="BB29" s="110" t="str">
        <f t="shared" ref="BB29" si="518">IF($E30="H",IF($F29="Hybrid - Thrust + 2 connections","Data!$BI$1:$BI$5","HybridDD_Code"),IF($E30=3,"Data!$BI$1:$BI$5",IF(LEFT($F29,4)="Acro",CONCATENATE(BB$16,$E30,"_Code"),IF($E30="PA","","Data!$BI$1:$BI$5"))))</f>
        <v>Data!$BI$1:$BI$5</v>
      </c>
      <c r="BC29" s="110" t="str">
        <f t="shared" ref="BC29" si="519">IF($E30="H",IF($F29="Hybrid - Thrust + 2 connections","Data!$BI$1:$BI$5","HybridDD_Code"),IF($E30=3,"Data!$BI$1:$BI$5",IF(LEFT($F29,4)="Acro",CONCATENATE(BC$16,$E30,"_Code"),IF($E30="PA","","Data!$BI$1:$BI$5"))))</f>
        <v>Data!$BI$1:$BI$5</v>
      </c>
      <c r="BD29" s="110" t="str">
        <f t="shared" ref="BD29" si="520">IF($E30="H",IF($F29="Hybrid - Thrust + 2 connections","Data!$BI$1:$BI$5","HybridDD_Code"),IF($E30=3,"Data!$BI$1:$BI$5",IF(LEFT($F29,4)="Acro",CONCATENATE(BD$16,$E30,"_Code"),IF($E30="PA","","Data!$BI$1:$BI$5"))))</f>
        <v>Data!$BI$1:$BI$5</v>
      </c>
      <c r="BE29" s="110" t="str">
        <f t="shared" ref="BE29" si="521">IF($E30="H",IF($F29="Hybrid - Thrust + 2 connections","Data!$BI$1:$BI$5","HybridDD_Code"),"Data!$BI$1:$BI$5")</f>
        <v>Data!$BI$1:$BI$5</v>
      </c>
      <c r="BF29" s="110" t="str">
        <f t="shared" ref="BF29:BO38" si="522">$BE29</f>
        <v>Data!$BI$1:$BI$5</v>
      </c>
      <c r="BG29" s="110" t="str">
        <f t="shared" si="522"/>
        <v>Data!$BI$1:$BI$5</v>
      </c>
      <c r="BH29" s="110" t="str">
        <f t="shared" si="522"/>
        <v>Data!$BI$1:$BI$5</v>
      </c>
      <c r="BI29" s="110" t="str">
        <f t="shared" si="522"/>
        <v>Data!$BI$1:$BI$5</v>
      </c>
      <c r="BJ29" s="110" t="str">
        <f t="shared" si="522"/>
        <v>Data!$BI$1:$BI$5</v>
      </c>
      <c r="BK29" s="110" t="str">
        <f t="shared" si="522"/>
        <v>Data!$BI$1:$BI$5</v>
      </c>
      <c r="BL29" s="110" t="str">
        <f t="shared" si="522"/>
        <v>Data!$BI$1:$BI$5</v>
      </c>
      <c r="BM29" s="110" t="str">
        <f t="shared" si="522"/>
        <v>Data!$BI$1:$BI$5</v>
      </c>
      <c r="BN29" s="110" t="str">
        <f t="shared" si="522"/>
        <v>Data!$BI$1:$BI$5</v>
      </c>
      <c r="BO29" s="110" t="str">
        <f t="shared" si="522"/>
        <v>Data!$BI$1:$BI$5</v>
      </c>
      <c r="BP29" s="110"/>
      <c r="BQ29" s="110"/>
      <c r="BR29" s="113" t="str">
        <f t="shared" ref="BR29" si="523">IFERROR(TIME(0,A29,B29),"")</f>
        <v/>
      </c>
      <c r="BS29" s="114">
        <f>IFERROR(TIME(0,C29,D29),"")</f>
        <v>0</v>
      </c>
      <c r="BT29" s="114" t="str">
        <f t="shared" ref="BT29" si="524">IF(BS29&gt;$D$12,"X","")</f>
        <v/>
      </c>
      <c r="BU29" s="108" t="str">
        <f>IF(AND(F29="Hybrid - Thrust + 2 connections",OR(LEFT(J29,1)="T",LEFT(K29,1)="T",LEFT(L29,1)="T",LEFT(NG29,1)="T",LEFT(M29,1)="T",LEFT(N29,1)="T",LEFT(O29,1)="T",LEFT(P29,1)="T",LEFT(Q29,1)="T",LEFT(R29,1)="T",LEFT(S29,1)="T",LEFT(T29,1)="T",LEFT(U29,1)="T",LEFT(V29,1)="T",LEFT(W29,1)="T",LEFT(X29,1)="T",LEFT(AA29,1)="T",LEFT(AB29,1)="T",LEFT(AC29,1)="T")),IF(OR(LEN(J29)=2,LEN(K29)=2,LEN(L29)=2,LEN(M29)=2,LEN(N29)=2,LEN(O29)=2,LEN(P29)=2,LEN(Q29)=2,LEN(R29)=2,LEN(S29)=2,LEN(T29)=2,LEN(U29)=2,LEN(V29)=2,LEN(W29)=2,LEN(X29)=2,LEN(Y29)=2,LEN(Z29)=2,LEN(AA29)=2,LEN(AB29)=2,LEN(AC29)=2),"X",""),"")</f>
        <v/>
      </c>
      <c r="BW29" s="108" t="str">
        <f>IF(LEFT(F29,4)="Acro",IF(AND(N29&lt;&gt;"",M29=RIGHT(N29,2)),"X","OK"),"")</f>
        <v/>
      </c>
      <c r="BX29" s="110" t="str">
        <f t="shared" ref="BX29:CE29" si="525">IFERROR(IF(AND(LEFT($F29,4)="Acro",INDEX(Requ_App,MATCH(AV29,Requ_Code,0))="No"),"X",""),"")</f>
        <v/>
      </c>
      <c r="BY29" s="110" t="str">
        <f t="shared" si="525"/>
        <v/>
      </c>
      <c r="BZ29" s="110" t="str">
        <f t="shared" si="525"/>
        <v/>
      </c>
      <c r="CA29" s="110" t="str">
        <f t="shared" si="525"/>
        <v/>
      </c>
      <c r="CB29" s="110" t="str">
        <f t="shared" si="525"/>
        <v/>
      </c>
      <c r="CC29" s="110" t="str">
        <f t="shared" si="525"/>
        <v/>
      </c>
      <c r="CD29" s="110" t="str">
        <f t="shared" si="525"/>
        <v/>
      </c>
      <c r="CE29" s="110" t="str">
        <f t="shared" si="525"/>
        <v/>
      </c>
      <c r="CF29" s="110" t="str">
        <f>IFERROR(IF(AND(LEFT($F29,4)="Acro",INDEX(Requ_App,MATCH(BC29,Requ_Code,0))="No"),"X",""),"")</f>
        <v/>
      </c>
      <c r="CG29" s="108" t="str">
        <f t="shared" si="9"/>
        <v/>
      </c>
      <c r="CH29" s="108" t="str">
        <f t="shared" si="10"/>
        <v/>
      </c>
      <c r="CI29" s="108" t="str">
        <f t="shared" si="11"/>
        <v/>
      </c>
      <c r="CJ29" s="108" t="str">
        <f t="shared" si="12"/>
        <v/>
      </c>
      <c r="CN29" s="108">
        <f t="shared" ref="CN29" si="526">IF(AND(E30="A",OR(Q29="Grip",Q29="Conn",Q29="Catch")),"A1",IF(AND(E30="A",OR(Q29="Hula",Q29="RetSq",Q29="RetPa")),"A2",IF(AND(E30="B",OR(Q29="Twirl",Q29="RotF")),"B1",IF(AND(E30="B",OR(Q29="Moon",Q29="Mov")),"B2",IF(AND(E30="B",Q29="Hold"),"B3",IF(AND(E30="P",OR(Q29="Porp",Q29="Spitch")),"P1",IF(AND(E30="P",OR(Q29="Dive",Q29="Ps1",Q29="Ps1t0.5",Q29="Ps1op",Q29="Ps1t0,5o",Q29="Ps1t1",Q29="CH+")),"P2",IF(AND(E30="P",OR(Q29="Spider",Q29="Climb")),"P3",IF(AND(E30="P",OR(Q29="Fall",Q29="FTurn")),"P4",IF(AND(E30="C",OR(Q29="Jump",Q29="Jump&gt;",Q29="On1Foot",Q29="1F&gt;1F")),"C1",IF(AND(E30="C",OR(Q29="Run",Q29="BRun")),"C2",1)))))))))))</f>
        <v>1</v>
      </c>
      <c r="CO29" s="108">
        <f t="shared" ref="CO29" si="527">IF(AND(E30="A",OR(R29="Grip",R29="Conn",R29="Catch")),"A1",IF(AND(E30="A",OR(R29="Hula",R29="RetSq",R29="RetPa")),"A2",IF(AND(E30="B",OR(R29="Twirl",R29="RotF")),"B1",IF(AND(E30="B",OR(R29="Moon",R29="Mov")),"B3",IF(AND(E30="B",R29="Hold"),"B2",IF(AND(E30="P",OR(R29="Porp",R29="Spitch")),"P1",IF(AND(E30="P",OR(R29="Dive",R29="Ps1",R29="Ps1t0.5",R29="Ps1op",R29="Ps1t0,5o",R29="Ps1t1",R29="CH+")),"P2",IF(AND(E30="P",OR(R29="Spider",R29="Climb")),"P3",IF(AND(E30="P",OR(R29="Fall",R29="FTurn")),"P4",IF(AND(E30="C",OR(R29="Jump",R29="Jump&gt;",R29="On1Foot",R29="1F&gt;1F")),"C1",IF(AND(E30="C",OR(R29="Run",R29="BRun")),"C2",2)))))))))))</f>
        <v>2</v>
      </c>
      <c r="CP29" s="108" t="str">
        <f t="shared" ref="CP29" si="528">IF(AND(LEFT(F29,4)="Acro",Q29&lt;&gt;"",OR(Q29=R29,CN29=CO29)),IF(R29="C-Roll","","X"),IF(OR(AND(E30="A",Q29="Catch",R29&lt;&gt;"Dbl"),AND(E30="A",R29="Catch",Q29&lt;&gt;"Dbl")),"X",""))</f>
        <v/>
      </c>
      <c r="CQ29" s="108" t="str">
        <f t="shared" ref="CQ29" si="529">IF(E30="PA",J29,"")</f>
        <v/>
      </c>
      <c r="CR29" s="108">
        <v>11</v>
      </c>
      <c r="CT29" s="108" t="str">
        <f t="shared" ref="CT29" si="530">IF(AND($E30="A",COUNTIF($DC$19:$DD$68,DC29)&gt;1),DC29,"")</f>
        <v/>
      </c>
      <c r="CU29" s="108" t="str">
        <f t="shared" ref="CU29" si="531">IF(AND($E30="A",COUNTIF($DC$19:$DD$68,DD29)&gt;1),DD29,"")</f>
        <v/>
      </c>
      <c r="CV29" s="108" t="str">
        <f t="shared" ref="CV29" ca="1" si="532">IF(AND($E30="B",COUNTIF($J$19:$J$68,J29)&gt;1),J29,"")</f>
        <v/>
      </c>
      <c r="CW29" s="108" t="str">
        <f t="shared" ref="CW29" ca="1" si="533">IF(AND($E30="B",COUNTIF($K$19:$K$68,K29)&gt;1),K29,"")</f>
        <v/>
      </c>
      <c r="CX29" s="108" t="str">
        <f t="shared" ref="CX29" ca="1" si="534">IF(AND($E30="C",COUNTIF($J$19:$J$68,J29)&gt;1),J29,"")</f>
        <v/>
      </c>
      <c r="CY29" s="108" t="str">
        <f t="shared" ref="CY29" ca="1" si="535">IF(AND($E30="P",COUNTIF($J$19:$J$68,J29)&gt;1),J29,"")</f>
        <v/>
      </c>
      <c r="CZ29" s="108" t="str">
        <f t="shared" ref="CZ29" ca="1" si="536">IF(AND($E30="P",COUNTIF($K$19:$K$68,K29)&gt;1),K29,"")</f>
        <v/>
      </c>
      <c r="DA29" s="108" t="str">
        <f t="shared" ref="DA29" si="537">IF(AND($E30="P",COUNTIF($DC$19:$DD$68,DC29)&gt;1),DC29,"")</f>
        <v/>
      </c>
      <c r="DB29" s="108" t="str">
        <f t="shared" ref="DB29" si="538">IF(AND($E30="P",COUNTIF($DC$19:$DD$68,DD29)&gt;1),DD29,"")</f>
        <v/>
      </c>
      <c r="DC29" s="108" t="str">
        <f t="shared" ref="DC29" si="539">IFERROR(IF(OR(E30="A",E30="P"),M29,""),"")</f>
        <v/>
      </c>
      <c r="DD29" s="108" t="str">
        <f t="shared" ref="DD29" si="540">IFERROR(IF(OR(E30="A",E30="P"),RIGHT(N29,2),""),"")</f>
        <v/>
      </c>
      <c r="DF29" s="108" t="str">
        <f t="shared" ref="DF29" si="541">IF(AND($F$8="Open Team Acrobatic",LEFT(F29,4)="Acro"),E30,"")</f>
        <v/>
      </c>
      <c r="DG29" s="108" t="str">
        <f t="shared" ref="DG29" si="542">IFERROR(IF(HLOOKUP(DF29,$DD$12:$DG$13,2,FALSE)&gt;2,"X",""),"")</f>
        <v/>
      </c>
      <c r="DI29" s="108" t="str">
        <f t="shared" ref="DI29" si="543">IF(OR(AND(F29="Hybrid - Thrust + 2 connections",DI30="T"),AND(F29="Hybrid - Free",DI30&lt;&gt;"")),"X","")</f>
        <v/>
      </c>
      <c r="DK29" s="108">
        <f t="shared" ref="DK29" si="544">IFERROR(IF(AND($E30="H",J29&lt;&gt;""),IF(OR(LEFT(J29,1)="T",LEFT(J29,1)="S",LEFT(J29,1)="A",LEFT(J29,1)="F",LEFT(J29,1)="C"),LEFT(J29,1),"R"),DK$18),"")</f>
        <v>1</v>
      </c>
      <c r="DL29" s="108">
        <f t="shared" ref="DL29" si="545">IFERROR(IF(AND($E30="H",K29&lt;&gt;""),IF(OR(LEFT(K29,1)="T",LEFT(K29,1)="S",LEFT(K29,1)="A",LEFT(K29,1)="F",LEFT(K29,1)="C"),LEFT(K29,1),"R"),DL$18),"")</f>
        <v>2</v>
      </c>
      <c r="DM29" s="108">
        <f t="shared" ref="DM29" si="546">IFERROR(IF(AND($E30="H",L29&lt;&gt;""),IF(OR(LEFT(L29,1)="T",LEFT(L29,1)="S",LEFT(L29,1)="A",LEFT(L29,1)="F",LEFT(L29,1)="C"),LEFT(L29,1),"R"),DM$18),"")</f>
        <v>3</v>
      </c>
      <c r="DN29" s="108">
        <f t="shared" ref="DN29" si="547">IFERROR(IF(AND($E30="H",M29&lt;&gt;""),IF(OR(LEFT(M29,1)="T",LEFT(M29,1)="S",LEFT(M29,1)="A",LEFT(M29,1)="F",LEFT(M29,1)="C"),LEFT(M29,1),"R"),DN$18),"")</f>
        <v>4</v>
      </c>
      <c r="DO29" s="108">
        <f t="shared" ref="DO29" si="548">IFERROR(IF(AND($E30="H",N29&lt;&gt;""),IF(OR(LEFT(N29,1)="T",LEFT(N29,1)="S",LEFT(N29,1)="A",LEFT(N29,1)="F",LEFT(N29,1)="C"),LEFT(N29,1),"R"),DO$18),"")</f>
        <v>5</v>
      </c>
      <c r="DP29" s="108">
        <f t="shared" ref="DP29" si="549">IFERROR(IF(AND($E30="H",O29&lt;&gt;""),IF(OR(LEFT(O29,1)="T",LEFT(O29,1)="S",LEFT(O29,1)="A",LEFT(O29,1)="F",LEFT(O29,1)="C"),LEFT(O29,1),"R"),DP$18),"")</f>
        <v>6</v>
      </c>
      <c r="DQ29" s="108">
        <f t="shared" ref="DQ29" si="550">IFERROR(IF(AND($E30="H",P29&lt;&gt;""),IF(OR(LEFT(P29,1)="T",LEFT(P29,1)="S",LEFT(P29,1)="A",LEFT(P29,1)="F",LEFT(P29,1)="C"),LEFT(P29,1),"R"),DQ$18),"")</f>
        <v>7</v>
      </c>
      <c r="DR29" s="108">
        <f t="shared" ref="DR29" si="551">IFERROR(IF(AND($E30="H",Q29&lt;&gt;""),IF(OR(LEFT(Q29,1)="T",LEFT(Q29,1)="S",LEFT(Q29,1)="A",LEFT(Q29,1)="F",LEFT(Q29,1)="C"),LEFT(Q29,1),"R"),DR$18),"")</f>
        <v>8</v>
      </c>
      <c r="DS29" s="108">
        <f t="shared" ref="DS29" si="552">IFERROR(IF(AND($E30="H",R29&lt;&gt;""),IF(OR(LEFT(R29,1)="T",LEFT(R29,1)="S",LEFT(R29,1)="A",LEFT(R29,1)="F",LEFT(R29,1)="C"),LEFT(R29,1),"R"),DS$18),"")</f>
        <v>9</v>
      </c>
      <c r="DT29" s="108">
        <f t="shared" ref="DT29" si="553">IFERROR(IF(AND($E30="H",S29&lt;&gt;""),IF(OR(LEFT(S29,1)="T",LEFT(S29,1)="S",LEFT(S29,1)="A",LEFT(S29,1)="F",LEFT(S29,1)="C"),LEFT(S29,1),"R"),DT$18),"")</f>
        <v>10</v>
      </c>
      <c r="DU29" s="108">
        <f t="shared" ref="DU29" si="554">IFERROR(IF(AND($E30="H",T29&lt;&gt;""),IF(OR(LEFT(T29,1)="T",LEFT(T29,1)="S",LEFT(T29,1)="A",LEFT(T29,1)="F",LEFT(T29,1)="C"),LEFT(T29,1),"R"),DU$18),"")</f>
        <v>11</v>
      </c>
      <c r="DV29" s="108">
        <f t="shared" ref="DV29" si="555">IFERROR(IF(AND($E30="H",U29&lt;&gt;""),IF(OR(LEFT(U29,1)="T",LEFT(U29,1)="S",LEFT(U29,1)="A",LEFT(U29,1)="F",LEFT(U29,1)="C"),LEFT(U29,1),"R"),DV$18),"")</f>
        <v>12</v>
      </c>
      <c r="DW29" s="108">
        <f t="shared" ref="DW29" si="556">IFERROR(IF(AND($E30="H",V29&lt;&gt;""),IF(OR(LEFT(V29,1)="T",LEFT(V29,1)="S",LEFT(V29,1)="A",LEFT(V29,1)="F",LEFT(V29,1)="C"),LEFT(V29,1),"R"),DW$18),"")</f>
        <v>13</v>
      </c>
      <c r="DX29" s="108">
        <f t="shared" ref="DX29" si="557">IFERROR(IF(AND($E30="H",W29&lt;&gt;""),IF(OR(LEFT(W29,1)="T",LEFT(W29,1)="S",LEFT(W29,1)="A",LEFT(W29,1)="F",LEFT(W29,1)="C"),LEFT(W29,1),"R"),DX$18),"")</f>
        <v>14</v>
      </c>
      <c r="DY29" s="108">
        <f t="shared" ref="DY29" si="558">IFERROR(IF(AND($E30="H",X29&lt;&gt;""),IF(OR(LEFT(X29,1)="T",LEFT(X29,1)="S",LEFT(X29,1)="A",LEFT(X29,1)="F",LEFT(X29,1)="C"),LEFT(X29,1),"R"),DY$18),"")</f>
        <v>15</v>
      </c>
      <c r="DZ29" s="108">
        <f t="shared" ref="DZ29" si="559">IFERROR(IF(AND($E30="H",Y29&lt;&gt;""),IF(OR(LEFT(Y29,1)="T",LEFT(Y29,1)="S",LEFT(Y29,1)="A",LEFT(Y29,1)="F",LEFT(Y29,1)="C"),LEFT(Y29,1),"R"),DZ$18),"")</f>
        <v>16</v>
      </c>
      <c r="EA29" s="108">
        <f t="shared" ref="EA29" si="560">IFERROR(IF(AND($E30="H",Z29&lt;&gt;""),IF(OR(LEFT(Z29,1)="T",LEFT(Z29,1)="S",LEFT(Z29,1)="A",LEFT(Z29,1)="F",LEFT(Z29,1)="C"),LEFT(Z29,1),"R"),EA$18),"")</f>
        <v>17</v>
      </c>
      <c r="EB29" s="108">
        <f t="shared" ref="EB29" si="561">IFERROR(IF(AND($E30="H",AA29&lt;&gt;""),IF(OR(LEFT(AA29,1)="T",LEFT(AA29,1)="S",LEFT(AA29,1)="A",LEFT(AA29,1)="F",LEFT(AA29,1)="C"),LEFT(AA29,1),"R"),EB$18),"")</f>
        <v>18</v>
      </c>
      <c r="EC29" s="108">
        <f t="shared" ref="EC29" si="562">IFERROR(IF(AND($E30="H",AB29&lt;&gt;""),IF(OR(LEFT(AB29,1)="T",LEFT(AB29,1)="S",LEFT(AB29,1)="A",LEFT(AB29,1)="F",LEFT(AB29,1)="C"),LEFT(AB29,1),"R"),EC$18),"")</f>
        <v>19</v>
      </c>
      <c r="ED29" s="108">
        <f t="shared" ref="ED29" si="563">IFERROR(IF(AND($E30="H",AC29&lt;&gt;""),IF(OR(LEFT(AC29,1)="T",LEFT(AC29,1)="S",LEFT(AC29,1)="A",LEFT(AC29,1)="F",LEFT(AC29,1)="C"),LEFT(AC29,1),"R"),ED$18),"")</f>
        <v>20</v>
      </c>
      <c r="EE29" s="108"/>
      <c r="EF29" s="108"/>
      <c r="EG29" s="108">
        <f t="shared" ref="EG29:EZ29" si="564">IFERROR(IF(J29&lt;&gt;"",UPPER(J29),EG$18),EG$18)</f>
        <v>1</v>
      </c>
      <c r="EH29" s="108">
        <f t="shared" si="564"/>
        <v>2</v>
      </c>
      <c r="EI29" s="108">
        <f t="shared" si="564"/>
        <v>3</v>
      </c>
      <c r="EJ29" s="108">
        <f t="shared" si="564"/>
        <v>4</v>
      </c>
      <c r="EK29" s="108">
        <f t="shared" si="564"/>
        <v>5</v>
      </c>
      <c r="EL29" s="108">
        <f t="shared" si="564"/>
        <v>6</v>
      </c>
      <c r="EM29" s="108">
        <f t="shared" si="564"/>
        <v>7</v>
      </c>
      <c r="EN29" s="108">
        <f t="shared" si="564"/>
        <v>8</v>
      </c>
      <c r="EO29" s="108">
        <f t="shared" si="564"/>
        <v>9</v>
      </c>
      <c r="EP29" s="108">
        <f t="shared" si="564"/>
        <v>10</v>
      </c>
      <c r="EQ29" s="108">
        <f t="shared" si="564"/>
        <v>11</v>
      </c>
      <c r="ER29" s="108">
        <f t="shared" si="564"/>
        <v>12</v>
      </c>
      <c r="ES29" s="108">
        <f t="shared" si="564"/>
        <v>13</v>
      </c>
      <c r="ET29" s="108">
        <f t="shared" si="564"/>
        <v>14</v>
      </c>
      <c r="EU29" s="108">
        <f t="shared" si="564"/>
        <v>15</v>
      </c>
      <c r="EV29" s="108">
        <f t="shared" si="564"/>
        <v>16</v>
      </c>
      <c r="EW29" s="108">
        <f t="shared" si="564"/>
        <v>17</v>
      </c>
      <c r="EX29" s="108">
        <f t="shared" si="564"/>
        <v>18</v>
      </c>
      <c r="EY29" s="108">
        <f t="shared" si="564"/>
        <v>19</v>
      </c>
      <c r="EZ29" s="108">
        <f t="shared" si="564"/>
        <v>20</v>
      </c>
      <c r="FA29" s="108"/>
      <c r="FB29" s="108">
        <f t="shared" ref="FB29" si="565">COUNTIF($DK29:$ED29,FB$18)</f>
        <v>0</v>
      </c>
      <c r="FC29" s="108">
        <f t="shared" si="15"/>
        <v>0</v>
      </c>
      <c r="FD29" s="108">
        <f t="shared" si="15"/>
        <v>0</v>
      </c>
      <c r="FE29" s="108">
        <f t="shared" si="15"/>
        <v>0</v>
      </c>
      <c r="FF29" s="108">
        <f t="shared" si="15"/>
        <v>0</v>
      </c>
      <c r="FG29" s="108">
        <f t="shared" si="15"/>
        <v>0</v>
      </c>
      <c r="FH29" s="108"/>
      <c r="FI29" s="108" t="str">
        <f t="shared" ref="FI29" si="566">IF(AND($F29="Hybrid - Thrust + 2 connections",FI30=0,LEFT($J29,1)="C",LEFT($K29,1)="C",LEFT($L29,1)="C"),"X","")</f>
        <v/>
      </c>
      <c r="FJ29" s="108"/>
      <c r="FL29" s="120" t="e">
        <f>IF(OR(LEFT(#REF!,2)="PL",LEFT(#REF!,2)="PL",LEFT(#REF!,2)="PL",LEFT(#REF!,2)="PL",LEFT(#REF!,2)="PL"),IF($BS$17-BR29&gt;$FL$17,"X",""),"")</f>
        <v>#REF!</v>
      </c>
      <c r="FM29" s="120"/>
      <c r="FN29" s="111" t="str">
        <f>IF(E30=3,_xlfn.NUMBERVALUE(LEFT(J29,1)),"")</f>
        <v/>
      </c>
    </row>
    <row r="30" spans="1:170" ht="12.75" x14ac:dyDescent="0.25">
      <c r="A30" s="40"/>
      <c r="B30" s="41"/>
      <c r="C30" s="41"/>
      <c r="D30" s="41"/>
      <c r="E30" s="21" t="str">
        <f>IF(F29="Acrobatic - Pair","PA",IF(F29="Acrobatic Airborn","A",IF(F29="Acrobatic Balance","B",IF(F29="Acrobatic Combined","C",IF(F29="Acrobatic Platform","P",IF(F29="Technical Required Element",3,IF(LEFT(F29,4)="Hybr","H","")))))))</f>
        <v/>
      </c>
      <c r="F30" s="21" t="str">
        <f>IF(AND(F29="Hybrid - Thrust + 2 connections",BU29="X"),"Hybrid - Thrust",IF(OR(E30="A",E30="B",E30="C",E30="P"),"Acrobatic",""))</f>
        <v/>
      </c>
      <c r="G30" s="43"/>
      <c r="H30" s="222" t="str">
        <f t="shared" ref="H30" si="567">IF(E30="PA",IF(OR(LEFT(J29,1)="L",LEFT(J29,1)="S"),"A-Pair-Lift",IF(OR(LEFT(J29,1)="W",LEFT(J29,1)="T"),"A-Pair-Throw",IF(LEFT(J29,1)="J","A-Pair-Jump","A-Pair"))),IF(OR(E30="A",E30="B",E30="C",E30="P"),CONCATENATE("Acro-",E30),""))</f>
        <v/>
      </c>
      <c r="I30" s="216" t="e">
        <f t="shared" ref="I30" si="568">IF(OR(F29="Hybrid - min 4 swimmers (no DD)",LEFT(F29,5)="Trans"),0,INDEX($BV$3:$BV$9,MATCH(E30,$BU$3:$BU$9,0)))</f>
        <v>#N/A</v>
      </c>
      <c r="J30" s="210">
        <f t="shared" ref="J30" ca="1" si="569">IFERROR(IF($H29="No DD",0,IF(OR(ISBLANK(J29),J29="N/A"),0,INDEX(INDIRECT(AV30),MATCH(J29,INDIRECT(AV29),0)))),0)</f>
        <v>0</v>
      </c>
      <c r="K30" s="210">
        <f t="shared" ref="K30" ca="1" si="570">IFERROR(IF($H29="No DD",0,IF(OR(ISBLANK(K29),K29="N/A"),0,INDEX(INDIRECT(AW30),MATCH(K29,INDIRECT(AW29),0)))),0)</f>
        <v>0</v>
      </c>
      <c r="L30" s="210">
        <f t="shared" ref="L30" ca="1" si="571">IFERROR(IF($H29="No DD",0,IF(OR(ISBLANK(L29),L29="N/A"),0,INDEX(INDIRECT(AX30),MATCH(L29,INDIRECT(AX29),0)))),0)</f>
        <v>0</v>
      </c>
      <c r="M30" s="210">
        <f t="shared" ref="M30" ca="1" si="572">IFERROR(IF($H29="No DD",0,IF(OR(ISBLANK(M29),M29="N/A"),0,INDEX(INDIRECT(AY30),MATCH(M29,INDIRECT(AY29),0)))),0)</f>
        <v>0</v>
      </c>
      <c r="N30" s="210">
        <f t="shared" ref="N30" ca="1" si="573">IFERROR(IF($H29="No DD",0,IF(OR(ISBLANK(N29),N29="N/A"),0,INDEX(INDIRECT(AZ30),MATCH(N29,INDIRECT(AZ29),0)))),0)</f>
        <v>0</v>
      </c>
      <c r="O30" s="210">
        <f t="shared" ref="O30" ca="1" si="574">IFERROR(IF($H29="No DD",0,IF(OR(ISBLANK(O29),O29="N/A"),0,INDEX(INDIRECT(BA30),MATCH(O29,INDIRECT(BA29),0)))),0)</f>
        <v>0</v>
      </c>
      <c r="P30" s="210">
        <f t="shared" ref="P30" ca="1" si="575">IFERROR(IF($H29="No DD",0,IF(OR(ISBLANK(P29),P29="N/A"),0,INDEX(INDIRECT(BB30),MATCH(P29,INDIRECT(BB29),0)))),0)</f>
        <v>0</v>
      </c>
      <c r="Q30" s="210">
        <f t="shared" ref="Q30" ca="1" si="576">IFERROR(IF($H29="No DD",0,IF(OR(ISBLANK(Q29),Q29="N/A"),0,INDEX(INDIRECT(BC30),MATCH(Q29,INDIRECT(BC29),0)))),0)</f>
        <v>0</v>
      </c>
      <c r="R30" s="210">
        <f t="shared" ref="R30" ca="1" si="577">IFERROR(IF($H29="No DD",0,IF(OR(ISBLANK(R29),R29="N/A"),0,INDEX(INDIRECT(BD30),MATCH(R29,INDIRECT(BD29),0)))),0)</f>
        <v>0</v>
      </c>
      <c r="S30" s="210">
        <f t="shared" ref="S30" ca="1" si="578">IFERROR(IF($H29="No DD",0,IF(OR(ISBLANK(S29),S29="N/A"),0,INDEX(INDIRECT(BE30),MATCH(S29,INDIRECT(BE29),0)))),0)</f>
        <v>0</v>
      </c>
      <c r="T30" s="210">
        <f t="shared" ref="T30" ca="1" si="579">IFERROR(IF($H29="No DD",0,IF(OR(ISBLANK(T29),T29="N/A"),0,INDEX(INDIRECT(BF30),MATCH(T29,INDIRECT(BF29),0)))),0)</f>
        <v>0</v>
      </c>
      <c r="U30" s="210">
        <f t="shared" ref="U30" ca="1" si="580">IFERROR(IF($H29="No DD",0,IF(OR(ISBLANK(U29),U29="N/A"),0,INDEX(INDIRECT(BG30),MATCH(U29,INDIRECT(BG29),0)))),0)</f>
        <v>0</v>
      </c>
      <c r="V30" s="210">
        <f t="shared" ref="V30" ca="1" si="581">IFERROR(IF($H29="No DD",0,IF(OR(ISBLANK(V29),V29="N/A"),0,INDEX(INDIRECT(BH30),MATCH(V29,INDIRECT(BH29),0)))),0)</f>
        <v>0</v>
      </c>
      <c r="W30" s="210">
        <f t="shared" ref="W30" ca="1" si="582">IFERROR(IF($H29="No DD",0,IF(OR(ISBLANK(W29),W29="N/A"),0,INDEX(INDIRECT(BI30),MATCH(W29,INDIRECT(BI29),0)))),0)</f>
        <v>0</v>
      </c>
      <c r="X30" s="210">
        <f t="shared" ref="X30" ca="1" si="583">IFERROR(IF($H29="No DD",0,IF(OR(ISBLANK(X29),X29="N/A"),0,INDEX(INDIRECT(BJ30),MATCH(X29,INDIRECT(BJ29),0)))),0)</f>
        <v>0</v>
      </c>
      <c r="Y30" s="210">
        <f t="shared" ref="Y30" ca="1" si="584">IFERROR(IF($H29="No DD",0,IF(OR(ISBLANK(Y29),Y29="N/A"),0,INDEX(INDIRECT(BK30),MATCH(Y29,INDIRECT(BK29),0)))),0)</f>
        <v>0</v>
      </c>
      <c r="Z30" s="210">
        <f t="shared" ref="Z30" ca="1" si="585">IFERROR(IF($H29="No DD",0,IF(OR(ISBLANK(Z29),Z29="N/A"),0,INDEX(INDIRECT(BL30),MATCH(Z29,INDIRECT(BL29),0)))),0)</f>
        <v>0</v>
      </c>
      <c r="AA30" s="210">
        <f t="shared" ref="AA30" ca="1" si="586">IFERROR(IF($H29="No DD",0,IF(OR(ISBLANK(AA29),AA29="N/A"),0,INDEX(INDIRECT(BM30),MATCH(AA29,INDIRECT(BM29),0)))),0)</f>
        <v>0</v>
      </c>
      <c r="AB30" s="210">
        <f t="shared" ref="AB30" ca="1" si="587">IFERROR(IF($H29="No DD",0,IF(OR(ISBLANK(AB29),AB29="N/A"),0,INDEX(INDIRECT(BN30),MATCH(AB29,INDIRECT(BN29),0)))),0)</f>
        <v>0</v>
      </c>
      <c r="AC30" s="210">
        <f t="shared" ref="AC30" ca="1" si="588">IFERROR(IF($H29="No DD",0,IF(OR(ISBLANK(AC29),AC29="N/A"),0,INDEX(INDIRECT(BO30),MATCH(AC29,INDIRECT(BO29),0)))),0)</f>
        <v>0</v>
      </c>
      <c r="AD30" s="211" t="str">
        <f>IFERROR(IF(E30="H",INDEX(HybridBonus_Value,MATCH(AD29,HybridBonus_Code,0)),""),"")</f>
        <v/>
      </c>
      <c r="AE30" s="209" t="str">
        <f t="shared" ref="AE30" si="589">IFERROR(IF(J29&lt;&gt;"",SUM(I30:AD30),""),"")</f>
        <v/>
      </c>
      <c r="AF30" s="76"/>
      <c r="AG30" s="76"/>
      <c r="AH30" s="121"/>
      <c r="AI30" s="121"/>
      <c r="AJ30" s="121"/>
      <c r="AK30" s="121"/>
      <c r="AL30" s="121"/>
      <c r="AM30" s="121"/>
      <c r="AN30" s="121"/>
      <c r="AO30" s="121"/>
      <c r="AP30" s="121"/>
      <c r="AQ30" s="121"/>
      <c r="AR30" s="121"/>
      <c r="AS30" s="121"/>
      <c r="AT30" s="110"/>
      <c r="AU30" s="121"/>
      <c r="AV30" s="111" t="str">
        <f t="shared" ref="AV30" si="590">IF($E30="H","HybridDD_Value",IF($E30=3,"TreDD_Value",IF($E30="PA","AcroPair_Value",IF(LEFT($F29,4)="Acro",CONCATENATE(AV$16,$E30,"_Value"),""))))</f>
        <v/>
      </c>
      <c r="AW30" s="111" t="str">
        <f t="shared" ref="AW30:AX30" si="591">IF($E30="H","HybridDD_Value",IF($E30=3,"",IF(LEFT($F29,4)="Acro",CONCATENATE(AW$16,$E30,"_Value"),IF($E30="PA","",""))))</f>
        <v/>
      </c>
      <c r="AX30" s="111" t="str">
        <f t="shared" si="591"/>
        <v/>
      </c>
      <c r="AY30" s="111" t="str">
        <f t="shared" ref="AY30:BD30" si="592">IF($E30="H","HybridDD_Value",IF($E30=3,"",IF(LEFT($F29,4)="Acro",CONCATENATE(AY$16,$E30,"_Value"),IF($E30="PA","",""))))</f>
        <v/>
      </c>
      <c r="AZ30" s="111" t="str">
        <f t="shared" si="592"/>
        <v/>
      </c>
      <c r="BA30" s="111" t="str">
        <f t="shared" si="592"/>
        <v/>
      </c>
      <c r="BB30" s="111" t="str">
        <f t="shared" si="592"/>
        <v/>
      </c>
      <c r="BC30" s="111" t="str">
        <f t="shared" si="592"/>
        <v/>
      </c>
      <c r="BD30" s="111" t="str">
        <f t="shared" si="592"/>
        <v/>
      </c>
      <c r="BE30" s="110" t="str">
        <f t="shared" ref="BE30" si="593">IF($E30="H","HybridDD_Value","Data!$BI$1:$BI$5")</f>
        <v>Data!$BI$1:$BI$5</v>
      </c>
      <c r="BF30" s="110" t="str">
        <f t="shared" si="522"/>
        <v>Data!$BI$1:$BI$5</v>
      </c>
      <c r="BG30" s="110" t="str">
        <f t="shared" si="522"/>
        <v>Data!$BI$1:$BI$5</v>
      </c>
      <c r="BH30" s="110" t="str">
        <f t="shared" si="522"/>
        <v>Data!$BI$1:$BI$5</v>
      </c>
      <c r="BI30" s="110" t="str">
        <f t="shared" si="522"/>
        <v>Data!$BI$1:$BI$5</v>
      </c>
      <c r="BJ30" s="110" t="str">
        <f t="shared" si="522"/>
        <v>Data!$BI$1:$BI$5</v>
      </c>
      <c r="BK30" s="110" t="str">
        <f t="shared" si="522"/>
        <v>Data!$BI$1:$BI$5</v>
      </c>
      <c r="BL30" s="110" t="str">
        <f t="shared" si="522"/>
        <v>Data!$BI$1:$BI$5</v>
      </c>
      <c r="BM30" s="110" t="str">
        <f t="shared" si="522"/>
        <v>Data!$BI$1:$BI$5</v>
      </c>
      <c r="BN30" s="110" t="str">
        <f t="shared" si="522"/>
        <v>Data!$BI$1:$BI$5</v>
      </c>
      <c r="BO30" s="110" t="str">
        <f t="shared" si="522"/>
        <v>Data!$BI$1:$BI$5</v>
      </c>
      <c r="BP30" s="121"/>
      <c r="BQ30" s="121"/>
      <c r="BR30" s="122" t="str">
        <f>IFERROR(IF(AND($BS$6="T",$BS$8="T",LEFT(F29,4)="Acro",AE30&gt;3),"X",IF($N$7="X",IF(AND(E30="C",AE30&gt;$CA$6),"X",IF(AND(E30="A",AE30&gt;$CA$4),"X",IF(AND(E30="B",AE30&gt;$CA$5),"X",IF(AND(E30="P",AE30&gt;$CA$7),"X","")))),"")),"")</f>
        <v/>
      </c>
      <c r="BS30" s="114"/>
      <c r="BU30" s="108"/>
      <c r="CA30" s="111"/>
      <c r="CB30" s="111"/>
      <c r="CC30" s="111"/>
      <c r="CG30" s="108" t="str">
        <f t="shared" si="9"/>
        <v/>
      </c>
      <c r="CH30" s="108" t="str">
        <f t="shared" si="10"/>
        <v/>
      </c>
      <c r="CI30" s="108" t="str">
        <f t="shared" si="11"/>
        <v/>
      </c>
      <c r="CJ30" s="108" t="str">
        <f t="shared" si="12"/>
        <v/>
      </c>
      <c r="CR30" s="108">
        <v>12</v>
      </c>
      <c r="DI30" s="108" t="str" cm="1">
        <f t="array" ref="DI30">IFERROR(INDEX(DK30:ED30,MATCH(TRUE,INDEX((DK30:ED30&lt;&gt;""),),0)),"")</f>
        <v/>
      </c>
      <c r="DK30" s="108" t="str">
        <f t="shared" ref="DK30" si="594">IF(F29="Hybrid - Thrust + 2 connections",IF(COUNTIF($DK29:$ED29,DK29)&gt;1,DK29,""),IF(COUNTIF($DK29:$ED29,DK29)&gt;5,DK29,""))</f>
        <v/>
      </c>
      <c r="DL30" s="108" t="str">
        <f t="shared" ref="DL30" si="595">IF(G29="Hybrid - Thrust + 2 connections",IF(COUNTIF($DK29:$ED29,DL29)&gt;1,DL29,""),IF(COUNTIF($DK29:$ED29,DL29)&gt;5,DL29,""))</f>
        <v/>
      </c>
      <c r="DM30" s="108" t="str">
        <f t="shared" ref="DM30" si="596">IF(H29="Hybrid - Thrust + 2 connections",IF(COUNTIF($DK29:$ED29,DM29)&gt;1,DM29,""),IF(COUNTIF($DK29:$ED29,DM29)&gt;5,DM29,""))</f>
        <v/>
      </c>
      <c r="DN30" s="108" t="str">
        <f t="shared" ref="DN30" si="597">IF(I29="Hybrid - Thrust + 2 connections",IF(COUNTIF($DK29:$ED29,DN29)&gt;1,DN29,""),IF(COUNTIF($DK29:$ED29,DN29)&gt;5,DN29,""))</f>
        <v/>
      </c>
      <c r="DO30" s="108" t="str">
        <f t="shared" ref="DO30" si="598">IF(J29="Hybrid - Thrust + 2 connections",IF(COUNTIF($DK29:$ED29,DO29)&gt;1,DO29,""),IF(COUNTIF($DK29:$ED29,DO29)&gt;5,DO29,""))</f>
        <v/>
      </c>
      <c r="DP30" s="108" t="str">
        <f t="shared" ref="DP30" si="599">IF(K29="Hybrid - Thrust + 2 connections",IF(COUNTIF($DK29:$ED29,DP29)&gt;1,DP29,""),IF(COUNTIF($DK29:$ED29,DP29)&gt;5,DP29,""))</f>
        <v/>
      </c>
      <c r="DQ30" s="108" t="str">
        <f t="shared" ref="DQ30" si="600">IF(L29="Hybrid - Thrust + 2 connections",IF(COUNTIF($DK29:$ED29,DQ29)&gt;1,DQ29,""),IF(COUNTIF($DK29:$ED29,DQ29)&gt;5,DQ29,""))</f>
        <v/>
      </c>
      <c r="DR30" s="108" t="str">
        <f t="shared" ref="DR30" si="601">IF(M29="Hybrid - Thrust + 2 connections",IF(COUNTIF($DK29:$ED29,DR29)&gt;1,DR29,""),IF(COUNTIF($DK29:$ED29,DR29)&gt;5,DR29,""))</f>
        <v/>
      </c>
      <c r="DS30" s="108" t="str">
        <f t="shared" ref="DS30" si="602">IF(N29="Hybrid - Thrust + 2 connections",IF(COUNTIF($DK29:$ED29,DS29)&gt;1,DS29,""),IF(COUNTIF($DK29:$ED29,DS29)&gt;5,DS29,""))</f>
        <v/>
      </c>
      <c r="DT30" s="108" t="str">
        <f t="shared" ref="DT30" si="603">IF(O29="Hybrid - Thrust + 2 connections",IF(COUNTIF($DK29:$ED29,DT29)&gt;1,DT29,""),IF(COUNTIF($DK29:$ED29,DT29)&gt;5,DT29,""))</f>
        <v/>
      </c>
      <c r="DU30" s="108" t="str">
        <f t="shared" ref="DU30" si="604">IF(P29="Hybrid - Thrust + 2 connections",IF(COUNTIF($DK29:$ED29,DU29)&gt;1,DU29,""),IF(COUNTIF($DK29:$ED29,DU29)&gt;5,DU29,""))</f>
        <v/>
      </c>
      <c r="DV30" s="108" t="str">
        <f t="shared" ref="DV30" si="605">IF(Q29="Hybrid - Thrust + 2 connections",IF(COUNTIF($DK29:$ED29,DV29)&gt;1,DV29,""),IF(COUNTIF($DK29:$ED29,DV29)&gt;5,DV29,""))</f>
        <v/>
      </c>
      <c r="DW30" s="108" t="str">
        <f t="shared" ref="DW30" si="606">IF(R29="Hybrid - Thrust + 2 connections",IF(COUNTIF($DK29:$ED29,DW29)&gt;1,DW29,""),IF(COUNTIF($DK29:$ED29,DW29)&gt;5,DW29,""))</f>
        <v/>
      </c>
      <c r="DX30" s="108" t="str">
        <f t="shared" ref="DX30" si="607">IF(S29="Hybrid - Thrust + 2 connections",IF(COUNTIF($DK29:$ED29,DX29)&gt;1,DX29,""),IF(COUNTIF($DK29:$ED29,DX29)&gt;5,DX29,""))</f>
        <v/>
      </c>
      <c r="DY30" s="108" t="str">
        <f t="shared" ref="DY30" si="608">IF(T29="Hybrid - Thrust + 2 connections",IF(COUNTIF($DK29:$ED29,DY29)&gt;1,DY29,""),IF(COUNTIF($DK29:$ED29,DY29)&gt;5,DY29,""))</f>
        <v/>
      </c>
      <c r="DZ30" s="108" t="str">
        <f t="shared" ref="DZ30" si="609">IF(U29="Hybrid - Thrust + 2 connections",IF(COUNTIF($DK29:$ED29,DZ29)&gt;1,DZ29,""),IF(COUNTIF($DK29:$ED29,DZ29)&gt;5,DZ29,""))</f>
        <v/>
      </c>
      <c r="EA30" s="108" t="str">
        <f t="shared" ref="EA30" si="610">IF(V29="Hybrid - Thrust + 2 connections",IF(COUNTIF($DK29:$ED29,EA29)&gt;1,EA29,""),IF(COUNTIF($DK29:$ED29,EA29)&gt;5,EA29,""))</f>
        <v/>
      </c>
      <c r="EB30" s="108" t="str">
        <f t="shared" ref="EB30" si="611">IF(W29="Hybrid - Thrust + 2 connections",IF(COUNTIF($DK29:$ED29,EB29)&gt;1,EB29,""),IF(COUNTIF($DK29:$ED29,EB29)&gt;5,EB29,""))</f>
        <v/>
      </c>
      <c r="EC30" s="108" t="str">
        <f t="shared" ref="EC30" si="612">IF(X29="Hybrid - Thrust + 2 connections",IF(COUNTIF($DK29:$ED29,EC29)&gt;1,EC29,""),IF(COUNTIF($DK29:$ED29,EC29)&gt;5,EC29,""))</f>
        <v/>
      </c>
      <c r="ED30" s="108" t="str">
        <f t="shared" ref="ED30" si="613">IF(Y29="Hybrid - Thrust + 2 connections",IF(COUNTIF($DK29:$ED29,ED29)&gt;1,ED29,""),IF(COUNTIF($DK29:$ED29,ED29)&gt;5,ED29,""))</f>
        <v/>
      </c>
      <c r="EE30" s="108"/>
      <c r="EF30" s="108" t="str" cm="1">
        <f t="array" ref="EF30">IFERROR(INDEX(EG30:EZ30,MATCH(TRUE,INDEX((EG30:EZ30&lt;&gt;""),),0)),"")</f>
        <v/>
      </c>
      <c r="EG30" s="108" t="str">
        <f t="shared" ref="EG30" si="614">IF(COUNTIF($EG29:$EZ29,EG29)&gt;3,EG29,"")</f>
        <v/>
      </c>
      <c r="EH30" s="108" t="str">
        <f t="shared" ref="EH30" si="615">IF(COUNTIF($EG29:$EZ29,EH29)&gt;3,EH29,"")</f>
        <v/>
      </c>
      <c r="EI30" s="108" t="str">
        <f t="shared" ref="EI30" si="616">IF(COUNTIF($EG29:$EZ29,EI29)&gt;3,EI29,"")</f>
        <v/>
      </c>
      <c r="EJ30" s="108" t="str">
        <f t="shared" ref="EJ30" si="617">IF(COUNTIF($EG29:$EZ29,EJ29)&gt;3,EJ29,"")</f>
        <v/>
      </c>
      <c r="EK30" s="108" t="str">
        <f t="shared" ref="EK30" si="618">IF(COUNTIF($EG29:$EZ29,EK29)&gt;3,EK29,"")</f>
        <v/>
      </c>
      <c r="EL30" s="108" t="str">
        <f t="shared" ref="EL30" si="619">IF(COUNTIF($EG29:$EZ29,EL29)&gt;3,EL29,"")</f>
        <v/>
      </c>
      <c r="EM30" s="108" t="str">
        <f t="shared" ref="EM30" si="620">IF(COUNTIF($EG29:$EZ29,EM29)&gt;3,EM29,"")</f>
        <v/>
      </c>
      <c r="EN30" s="108" t="str">
        <f t="shared" ref="EN30" si="621">IF(COUNTIF($EG29:$EZ29,EN29)&gt;3,EN29,"")</f>
        <v/>
      </c>
      <c r="EO30" s="108" t="str">
        <f t="shared" ref="EO30" si="622">IF(COUNTIF($EG29:$EZ29,EO29)&gt;3,EO29,"")</f>
        <v/>
      </c>
      <c r="EP30" s="108" t="str">
        <f t="shared" ref="EP30" si="623">IF(COUNTIF($EG29:$EZ29,EP29)&gt;3,EP29,"")</f>
        <v/>
      </c>
      <c r="EQ30" s="108" t="str">
        <f t="shared" ref="EQ30" si="624">IF(COUNTIF($EG29:$EZ29,EQ29)&gt;3,EQ29,"")</f>
        <v/>
      </c>
      <c r="ER30" s="108" t="str">
        <f t="shared" ref="ER30" si="625">IF(COUNTIF($EG29:$EZ29,ER29)&gt;3,ER29,"")</f>
        <v/>
      </c>
      <c r="ES30" s="108" t="str">
        <f t="shared" ref="ES30" si="626">IF(COUNTIF($EG29:$EZ29,ES29)&gt;3,ES29,"")</f>
        <v/>
      </c>
      <c r="ET30" s="108" t="str">
        <f t="shared" ref="ET30" si="627">IF(COUNTIF($EG29:$EZ29,ET29)&gt;3,ET29,"")</f>
        <v/>
      </c>
      <c r="EU30" s="108" t="str">
        <f t="shared" ref="EU30" si="628">IF(COUNTIF($EG29:$EZ29,EU29)&gt;3,EU29,"")</f>
        <v/>
      </c>
      <c r="EV30" s="108" t="str">
        <f t="shared" ref="EV30" si="629">IF(COUNTIF($EG29:$EZ29,EV29)&gt;3,EV29,"")</f>
        <v/>
      </c>
      <c r="EW30" s="108" t="str">
        <f t="shared" ref="EW30" si="630">IF(COUNTIF($EG29:$EZ29,EW29)&gt;3,EW29,"")</f>
        <v/>
      </c>
      <c r="EX30" s="108" t="str">
        <f t="shared" ref="EX30" si="631">IF(COUNTIF($EG29:$EZ29,EX29)&gt;3,EX29,"")</f>
        <v/>
      </c>
      <c r="EY30" s="108" t="str">
        <f t="shared" ref="EY30" si="632">IF(COUNTIF($EG29:$EZ29,EY29)&gt;3,EY29,"")</f>
        <v/>
      </c>
      <c r="EZ30" s="108" t="str">
        <f t="shared" ref="EZ30" si="633">IF(COUNTIF($EG29:$EZ29,EZ29)&gt;3,EZ29,"")</f>
        <v/>
      </c>
      <c r="FA30" s="108"/>
      <c r="FB30" s="108"/>
      <c r="FC30" s="108"/>
      <c r="FD30" s="108"/>
      <c r="FE30" s="108"/>
      <c r="FF30" s="108"/>
      <c r="FG30" s="108"/>
      <c r="FH30" s="108"/>
      <c r="FI30" s="108" t="str">
        <f t="shared" ref="FI30" si="634">IF($F29="Hybrid - Thrust + 2 connections",COUNTBLANK(J29:L29),"")</f>
        <v/>
      </c>
      <c r="FJ30" s="108"/>
      <c r="FN30" s="111"/>
    </row>
    <row r="31" spans="1:170" ht="12.75" x14ac:dyDescent="0.25">
      <c r="A31" s="40" t="str">
        <f>IF(AND(E29="",A29&lt;&gt;""),IF(BS29=$BS$18,"",IF(C29&lt;&gt;"",IF(D29=59,MINUTE(BS29)+1,MINUTE(BS29)),"")),"")</f>
        <v/>
      </c>
      <c r="B31" s="41" t="str">
        <f>IF(AND(E29="",B29&lt;&gt;""),IF(BS29=$BS$18,"",IF(C29&lt;&gt;"",IF(D29=59,0,SECOND(BS29)+1),"")),"")</f>
        <v/>
      </c>
      <c r="C31" s="51"/>
      <c r="D31" s="51"/>
      <c r="E31" s="9"/>
      <c r="F31" s="52"/>
      <c r="G31" s="43" t="str">
        <f>IF(F31&lt;&gt;"",IF(OR(F31="Transition",F31="Transition - Surface Connection"),0,MAX($G$19:G30)+1),"")</f>
        <v/>
      </c>
      <c r="H31" s="57" t="str">
        <f t="shared" ref="H31" si="635">IFERROR(IF(E32="3","",IF(OR(F31="Hybrid - min 4 swimmers (no DD)",LEFT(F31,5)="Trans"),"No DD",CONCATENATE("BM = ",I32))),"")</f>
        <v/>
      </c>
      <c r="I31" s="58"/>
      <c r="J31" s="130"/>
      <c r="K31" s="137"/>
      <c r="L31" s="137"/>
      <c r="M31" s="137"/>
      <c r="N31" s="137"/>
      <c r="O31" s="137"/>
      <c r="P31" s="137"/>
      <c r="Q31" s="137"/>
      <c r="R31" s="137"/>
      <c r="S31" s="137"/>
      <c r="T31" s="137"/>
      <c r="U31" s="137"/>
      <c r="V31" s="137"/>
      <c r="W31" s="137"/>
      <c r="X31" s="137"/>
      <c r="Y31" s="137"/>
      <c r="Z31" s="137"/>
      <c r="AA31" s="137"/>
      <c r="AB31" s="137"/>
      <c r="AC31" s="137"/>
      <c r="AD31" s="191"/>
      <c r="AE31" s="44"/>
      <c r="AF31" s="75"/>
      <c r="AG31" s="75"/>
      <c r="AH31" s="110"/>
      <c r="AI31" s="110"/>
      <c r="AJ31" s="110"/>
      <c r="AK31" s="110"/>
      <c r="AL31" s="110"/>
      <c r="AM31" s="110"/>
      <c r="AN31" s="110"/>
      <c r="AO31" s="110"/>
      <c r="AP31" s="110"/>
      <c r="AQ31" s="110"/>
      <c r="AR31" s="110"/>
      <c r="AS31" s="110"/>
      <c r="AT31" s="110" t="str">
        <f>IFERROR(IF(F31&lt;&gt;"",INDEX(Parts_Active,MATCH(F31,Parts_Active,0)),""),"No")</f>
        <v/>
      </c>
      <c r="AU31" s="110"/>
      <c r="AV31" s="110" t="str">
        <f t="shared" ref="AV31" si="636">IF($E32="H",IF($F31="Hybrid - Thrust + 2 connections","Hybrid_Mix_Req","HybridDD_Code"),IF($E32=3,"TreDD_Code",IF($E32="PA","AcroPair_Code",IF(LEFT($F31,4)="Acro",CONCATENATE(AV$16,$E32,"_Code"),"Data!$BI$1:$BI$5"))))</f>
        <v>Data!$BI$1:$BI$5</v>
      </c>
      <c r="AW31" s="110" t="str">
        <f t="shared" ref="AW31" si="637">IF($E32="H",IF($F31="Hybrid - Thrust + 2 connections","Hybrid_Mix_Req","HybridDD_Code"),IF($E32=3,"TreDD_Code",IF($E32="PA","AcroPair_Code",IF(LEFT($F31,4)="Acro",CONCATENATE(AW$16,$E32,"_Code"),"Data!$BI$1:$BI$5"))))</f>
        <v>Data!$BI$1:$BI$5</v>
      </c>
      <c r="AX31" s="110" t="str">
        <f t="shared" ref="AX31" si="638">IF($E32="H",IF($F31="Hybrid - Thrust + 2 connections","Hybrid_Mix_Req","HybridDD_Code"),IF($E32=3,"TreDD_Code",IF($E32="PA","AcroPair_Code",IF(LEFT($F31,4)="Acro",CONCATENATE(AX$16,$E32,"_Code"),"Data!$BI$1:$BI$5"))))</f>
        <v>Data!$BI$1:$BI$5</v>
      </c>
      <c r="AY31" s="110" t="str">
        <f t="shared" ref="AY31" si="639">IF($E32="H",IF($F31="Hybrid - Thrust + 2 connections","Data!$BI$1:$BI$5","HybridDD_Code"),IF($E32=3,"Data!$BI$1:$BI$5",IF(LEFT($F31,4)="Acro",CONCATENATE(AY$16,$E32,"_Code"),IF($E32="PA","","Data!$BI$1:$BI$5"))))</f>
        <v>Data!$BI$1:$BI$5</v>
      </c>
      <c r="AZ31" s="110" t="str">
        <f t="shared" ref="AZ31" si="640">IF($E32="H",IF($F31="Hybrid - Thrust + 2 connections","Data!$BI$1:$BI$5","HybridDD_Code"),IF($E32=3,"Data!$BI$1:$BI$5",IF(LEFT($F31,4)="Acro",CONCATENATE(AZ$16,$E32,"_Code"),IF($E32="PA","","Data!$BI$1:$BI$5"))))</f>
        <v>Data!$BI$1:$BI$5</v>
      </c>
      <c r="BA31" s="110" t="str">
        <f t="shared" ref="BA31" si="641">IF($E32="H",IF($F31="Hybrid - Thrust + 2 connections","Data!$BI$1:$BI$5","HybridDD_Code"),IF($E32=3,"Data!$BI$1:$BI$5",IF(LEFT($F31,4)="Acro",CONCATENATE(BA$16,$E32,"_Code"),IF($E32="PA","","Data!$BI$1:$BI$5"))))</f>
        <v>Data!$BI$1:$BI$5</v>
      </c>
      <c r="BB31" s="110" t="str">
        <f t="shared" ref="BB31" si="642">IF($E32="H",IF($F31="Hybrid - Thrust + 2 connections","Data!$BI$1:$BI$5","HybridDD_Code"),IF($E32=3,"Data!$BI$1:$BI$5",IF(LEFT($F31,4)="Acro",CONCATENATE(BB$16,$E32,"_Code"),IF($E32="PA","","Data!$BI$1:$BI$5"))))</f>
        <v>Data!$BI$1:$BI$5</v>
      </c>
      <c r="BC31" s="110" t="str">
        <f t="shared" ref="BC31" si="643">IF($E32="H",IF($F31="Hybrid - Thrust + 2 connections","Data!$BI$1:$BI$5","HybridDD_Code"),IF($E32=3,"Data!$BI$1:$BI$5",IF(LEFT($F31,4)="Acro",CONCATENATE(BC$16,$E32,"_Code"),IF($E32="PA","","Data!$BI$1:$BI$5"))))</f>
        <v>Data!$BI$1:$BI$5</v>
      </c>
      <c r="BD31" s="110" t="str">
        <f t="shared" ref="BD31" si="644">IF($E32="H",IF($F31="Hybrid - Thrust + 2 connections","Data!$BI$1:$BI$5","HybridDD_Code"),IF($E32=3,"Data!$BI$1:$BI$5",IF(LEFT($F31,4)="Acro",CONCATENATE(BD$16,$E32,"_Code"),IF($E32="PA","","Data!$BI$1:$BI$5"))))</f>
        <v>Data!$BI$1:$BI$5</v>
      </c>
      <c r="BE31" s="110" t="str">
        <f t="shared" ref="BE31" si="645">IF($E32="H",IF($F31="Hybrid - Thrust + 2 connections","Data!$BI$1:$BI$5","HybridDD_Code"),"Data!$BI$1:$BI$5")</f>
        <v>Data!$BI$1:$BI$5</v>
      </c>
      <c r="BF31" s="110" t="str">
        <f t="shared" si="522"/>
        <v>Data!$BI$1:$BI$5</v>
      </c>
      <c r="BG31" s="110" t="str">
        <f t="shared" si="522"/>
        <v>Data!$BI$1:$BI$5</v>
      </c>
      <c r="BH31" s="110" t="str">
        <f t="shared" si="522"/>
        <v>Data!$BI$1:$BI$5</v>
      </c>
      <c r="BI31" s="110" t="str">
        <f t="shared" si="522"/>
        <v>Data!$BI$1:$BI$5</v>
      </c>
      <c r="BJ31" s="110" t="str">
        <f t="shared" si="522"/>
        <v>Data!$BI$1:$BI$5</v>
      </c>
      <c r="BK31" s="110" t="str">
        <f t="shared" si="522"/>
        <v>Data!$BI$1:$BI$5</v>
      </c>
      <c r="BL31" s="110" t="str">
        <f t="shared" si="522"/>
        <v>Data!$BI$1:$BI$5</v>
      </c>
      <c r="BM31" s="110" t="str">
        <f t="shared" si="522"/>
        <v>Data!$BI$1:$BI$5</v>
      </c>
      <c r="BN31" s="110" t="str">
        <f t="shared" si="522"/>
        <v>Data!$BI$1:$BI$5</v>
      </c>
      <c r="BO31" s="110" t="str">
        <f t="shared" si="522"/>
        <v>Data!$BI$1:$BI$5</v>
      </c>
      <c r="BP31" s="110"/>
      <c r="BQ31" s="110"/>
      <c r="BR31" s="113" t="str">
        <f t="shared" ref="BR31" si="646">IFERROR(TIME(0,A31,B31),"")</f>
        <v/>
      </c>
      <c r="BS31" s="114">
        <f>IFERROR(TIME(0,C31,D31),"")</f>
        <v>0</v>
      </c>
      <c r="BT31" s="114" t="str">
        <f t="shared" ref="BT31" si="647">IF(BS31&gt;$D$12,"X","")</f>
        <v/>
      </c>
      <c r="BU31" s="108" t="str">
        <f>IF(AND(F31="Hybrid - Thrust + 2 connections",OR(LEFT(J31,1)="T",LEFT(K31,1)="T",LEFT(L31,1)="T",LEFT(NG31,1)="T",LEFT(M31,1)="T",LEFT(N31,1)="T",LEFT(O31,1)="T",LEFT(P31,1)="T",LEFT(Q31,1)="T",LEFT(R31,1)="T",LEFT(S31,1)="T",LEFT(T31,1)="T",LEFT(U31,1)="T",LEFT(V31,1)="T",LEFT(W31,1)="T",LEFT(X31,1)="T",LEFT(AA31,1)="T",LEFT(AB31,1)="T",LEFT(AC31,1)="T")),IF(OR(LEN(J31)=2,LEN(K31)=2,LEN(L31)=2,LEN(M31)=2,LEN(N31)=2,LEN(O31)=2,LEN(P31)=2,LEN(Q31)=2,LEN(R31)=2,LEN(S31)=2,LEN(T31)=2,LEN(U31)=2,LEN(V31)=2,LEN(W31)=2,LEN(X31)=2,LEN(Y31)=2,LEN(Z31)=2,LEN(AA31)=2,LEN(AB31)=2,LEN(AC31)=2),"X",""),"")</f>
        <v/>
      </c>
      <c r="BW31" s="108" t="str">
        <f>IF(LEFT(F31,4)="Acro",IF(AND(N31&lt;&gt;"",M31=RIGHT(N31,2)),"X","OK"),"")</f>
        <v/>
      </c>
      <c r="BX31" s="110" t="str">
        <f t="shared" ref="BX31:CE31" si="648">IFERROR(IF(AND(LEFT($F31,4)="Acro",INDEX(Requ_App,MATCH(AV31,Requ_Code,0))="No"),"X",""),"")</f>
        <v/>
      </c>
      <c r="BY31" s="110" t="str">
        <f t="shared" si="648"/>
        <v/>
      </c>
      <c r="BZ31" s="110" t="str">
        <f t="shared" si="648"/>
        <v/>
      </c>
      <c r="CA31" s="110" t="str">
        <f t="shared" si="648"/>
        <v/>
      </c>
      <c r="CB31" s="110" t="str">
        <f t="shared" si="648"/>
        <v/>
      </c>
      <c r="CC31" s="110" t="str">
        <f t="shared" si="648"/>
        <v/>
      </c>
      <c r="CD31" s="110" t="str">
        <f t="shared" si="648"/>
        <v/>
      </c>
      <c r="CE31" s="110" t="str">
        <f t="shared" si="648"/>
        <v/>
      </c>
      <c r="CF31" s="110" t="str">
        <f>IFERROR(IF(AND(LEFT($F31,4)="Acro",INDEX(Requ_App,MATCH(BC31,Requ_Code,0))="No"),"X",""),"")</f>
        <v/>
      </c>
      <c r="CG31" s="108" t="str">
        <f t="shared" si="9"/>
        <v/>
      </c>
      <c r="CH31" s="108" t="str">
        <f t="shared" si="10"/>
        <v/>
      </c>
      <c r="CI31" s="108" t="str">
        <f t="shared" si="11"/>
        <v/>
      </c>
      <c r="CJ31" s="108" t="str">
        <f t="shared" si="12"/>
        <v/>
      </c>
      <c r="CN31" s="108">
        <f t="shared" ref="CN31" si="649">IF(AND(E32="A",OR(Q31="Grip",Q31="Conn",Q31="Catch")),"A1",IF(AND(E32="A",OR(Q31="Hula",Q31="RetSq",Q31="RetPa")),"A2",IF(AND(E32="B",OR(Q31="Twirl",Q31="RotF")),"B1",IF(AND(E32="B",OR(Q31="Moon",Q31="Mov")),"B2",IF(AND(E32="B",Q31="Hold"),"B3",IF(AND(E32="P",OR(Q31="Porp",Q31="Spitch")),"P1",IF(AND(E32="P",OR(Q31="Dive",Q31="Ps1",Q31="Ps1t0.5",Q31="Ps1op",Q31="Ps1t0,5o",Q31="Ps1t1",Q31="CH+")),"P2",IF(AND(E32="P",OR(Q31="Spider",Q31="Climb")),"P3",IF(AND(E32="P",OR(Q31="Fall",Q31="FTurn")),"P4",IF(AND(E32="C",OR(Q31="Jump",Q31="Jump&gt;",Q31="On1Foot",Q31="1F&gt;1F")),"C1",IF(AND(E32="C",OR(Q31="Run",Q31="BRun")),"C2",1)))))))))))</f>
        <v>1</v>
      </c>
      <c r="CO31" s="108">
        <f t="shared" ref="CO31" si="650">IF(AND(E32="A",OR(R31="Grip",R31="Conn",R31="Catch")),"A1",IF(AND(E32="A",OR(R31="Hula",R31="RetSq",R31="RetPa")),"A2",IF(AND(E32="B",OR(R31="Twirl",R31="RotF")),"B1",IF(AND(E32="B",OR(R31="Moon",R31="Mov")),"B3",IF(AND(E32="B",R31="Hold"),"B2",IF(AND(E32="P",OR(R31="Porp",R31="Spitch")),"P1",IF(AND(E32="P",OR(R31="Dive",R31="Ps1",R31="Ps1t0.5",R31="Ps1op",R31="Ps1t0,5o",R31="Ps1t1",R31="CH+")),"P2",IF(AND(E32="P",OR(R31="Spider",R31="Climb")),"P3",IF(AND(E32="P",OR(R31="Fall",R31="FTurn")),"P4",IF(AND(E32="C",OR(R31="Jump",R31="Jump&gt;",R31="On1Foot",R31="1F&gt;1F")),"C1",IF(AND(E32="C",OR(R31="Run",R31="BRun")),"C2",2)))))))))))</f>
        <v>2</v>
      </c>
      <c r="CP31" s="108" t="str">
        <f t="shared" ref="CP31" si="651">IF(AND(LEFT(F31,4)="Acro",Q31&lt;&gt;"",OR(Q31=R31,CN31=CO31)),IF(R31="C-Roll","","X"),IF(OR(AND(E32="A",Q31="Catch",R31&lt;&gt;"Dbl"),AND(E32="A",R31="Catch",Q31&lt;&gt;"Dbl")),"X",""))</f>
        <v/>
      </c>
      <c r="CQ31" s="108" t="str">
        <f t="shared" ref="CQ31" si="652">IF(E32="PA",J31,"")</f>
        <v/>
      </c>
      <c r="CR31" s="108">
        <v>13</v>
      </c>
      <c r="CT31" s="108" t="str">
        <f t="shared" ref="CT31" si="653">IF(AND($E32="A",COUNTIF($DC$19:$DD$68,DC31)&gt;1),DC31,"")</f>
        <v/>
      </c>
      <c r="CU31" s="108" t="str">
        <f t="shared" ref="CU31" si="654">IF(AND($E32="A",COUNTIF($DC$19:$DD$68,DD31)&gt;1),DD31,"")</f>
        <v/>
      </c>
      <c r="CV31" s="108" t="str">
        <f t="shared" ref="CV31" ca="1" si="655">IF(AND($E32="B",COUNTIF($J$19:$J$68,J31)&gt;1),J31,"")</f>
        <v/>
      </c>
      <c r="CW31" s="108" t="str">
        <f t="shared" ref="CW31" ca="1" si="656">IF(AND($E32="B",COUNTIF($K$19:$K$68,K31)&gt;1),K31,"")</f>
        <v/>
      </c>
      <c r="CX31" s="108" t="str">
        <f t="shared" ref="CX31" ca="1" si="657">IF(AND($E32="C",COUNTIF($J$19:$J$68,J31)&gt;1),J31,"")</f>
        <v/>
      </c>
      <c r="CY31" s="108" t="str">
        <f t="shared" ref="CY31" ca="1" si="658">IF(AND($E32="P",COUNTIF($J$19:$J$68,J31)&gt;1),J31,"")</f>
        <v/>
      </c>
      <c r="CZ31" s="108" t="str">
        <f t="shared" ref="CZ31" ca="1" si="659">IF(AND($E32="P",COUNTIF($K$19:$K$68,K31)&gt;1),K31,"")</f>
        <v/>
      </c>
      <c r="DA31" s="108" t="str">
        <f t="shared" ref="DA31" si="660">IF(AND($E32="P",COUNTIF($DC$19:$DD$68,DC31)&gt;1),DC31,"")</f>
        <v/>
      </c>
      <c r="DB31" s="108" t="str">
        <f t="shared" ref="DB31" si="661">IF(AND($E32="P",COUNTIF($DC$19:$DD$68,DD31)&gt;1),DD31,"")</f>
        <v/>
      </c>
      <c r="DC31" s="108" t="str">
        <f t="shared" ref="DC31" si="662">IFERROR(IF(OR(E32="A",E32="P"),M31,""),"")</f>
        <v/>
      </c>
      <c r="DD31" s="108" t="str">
        <f t="shared" ref="DD31" si="663">IFERROR(IF(OR(E32="A",E32="P"),RIGHT(N31,2),""),"")</f>
        <v/>
      </c>
      <c r="DF31" s="108" t="str">
        <f t="shared" ref="DF31" si="664">IF(AND($F$8="Open Team Acrobatic",LEFT(F31,4)="Acro"),E32,"")</f>
        <v/>
      </c>
      <c r="DG31" s="108" t="str">
        <f t="shared" ref="DG31" si="665">IFERROR(IF(HLOOKUP(DF31,$DD$12:$DG$13,2,FALSE)&gt;2,"X",""),"")</f>
        <v/>
      </c>
      <c r="DI31" s="108" t="str">
        <f t="shared" ref="DI31" si="666">IF(OR(AND(F31="Hybrid - Thrust + 2 connections",DI32="T"),AND(F31="Hybrid - Free",DI32&lt;&gt;"")),"X","")</f>
        <v/>
      </c>
      <c r="DK31" s="108">
        <f t="shared" ref="DK31" si="667">IFERROR(IF(AND($E32="H",J31&lt;&gt;""),IF(OR(LEFT(J31,1)="T",LEFT(J31,1)="S",LEFT(J31,1)="A",LEFT(J31,1)="F",LEFT(J31,1)="C"),LEFT(J31,1),"R"),DK$18),"")</f>
        <v>1</v>
      </c>
      <c r="DL31" s="108">
        <f t="shared" ref="DL31" si="668">IFERROR(IF(AND($E32="H",K31&lt;&gt;""),IF(OR(LEFT(K31,1)="T",LEFT(K31,1)="S",LEFT(K31,1)="A",LEFT(K31,1)="F",LEFT(K31,1)="C"),LEFT(K31,1),"R"),DL$18),"")</f>
        <v>2</v>
      </c>
      <c r="DM31" s="108">
        <f t="shared" ref="DM31" si="669">IFERROR(IF(AND($E32="H",L31&lt;&gt;""),IF(OR(LEFT(L31,1)="T",LEFT(L31,1)="S",LEFT(L31,1)="A",LEFT(L31,1)="F",LEFT(L31,1)="C"),LEFT(L31,1),"R"),DM$18),"")</f>
        <v>3</v>
      </c>
      <c r="DN31" s="108">
        <f t="shared" ref="DN31" si="670">IFERROR(IF(AND($E32="H",M31&lt;&gt;""),IF(OR(LEFT(M31,1)="T",LEFT(M31,1)="S",LEFT(M31,1)="A",LEFT(M31,1)="F",LEFT(M31,1)="C"),LEFT(M31,1),"R"),DN$18),"")</f>
        <v>4</v>
      </c>
      <c r="DO31" s="108">
        <f t="shared" ref="DO31" si="671">IFERROR(IF(AND($E32="H",N31&lt;&gt;""),IF(OR(LEFT(N31,1)="T",LEFT(N31,1)="S",LEFT(N31,1)="A",LEFT(N31,1)="F",LEFT(N31,1)="C"),LEFT(N31,1),"R"),DO$18),"")</f>
        <v>5</v>
      </c>
      <c r="DP31" s="108">
        <f t="shared" ref="DP31" si="672">IFERROR(IF(AND($E32="H",O31&lt;&gt;""),IF(OR(LEFT(O31,1)="T",LEFT(O31,1)="S",LEFT(O31,1)="A",LEFT(O31,1)="F",LEFT(O31,1)="C"),LEFT(O31,1),"R"),DP$18),"")</f>
        <v>6</v>
      </c>
      <c r="DQ31" s="108">
        <f t="shared" ref="DQ31" si="673">IFERROR(IF(AND($E32="H",P31&lt;&gt;""),IF(OR(LEFT(P31,1)="T",LEFT(P31,1)="S",LEFT(P31,1)="A",LEFT(P31,1)="F",LEFT(P31,1)="C"),LEFT(P31,1),"R"),DQ$18),"")</f>
        <v>7</v>
      </c>
      <c r="DR31" s="108">
        <f t="shared" ref="DR31" si="674">IFERROR(IF(AND($E32="H",Q31&lt;&gt;""),IF(OR(LEFT(Q31,1)="T",LEFT(Q31,1)="S",LEFT(Q31,1)="A",LEFT(Q31,1)="F",LEFT(Q31,1)="C"),LEFT(Q31,1),"R"),DR$18),"")</f>
        <v>8</v>
      </c>
      <c r="DS31" s="108">
        <f t="shared" ref="DS31" si="675">IFERROR(IF(AND($E32="H",R31&lt;&gt;""),IF(OR(LEFT(R31,1)="T",LEFT(R31,1)="S",LEFT(R31,1)="A",LEFT(R31,1)="F",LEFT(R31,1)="C"),LEFT(R31,1),"R"),DS$18),"")</f>
        <v>9</v>
      </c>
      <c r="DT31" s="108">
        <f t="shared" ref="DT31" si="676">IFERROR(IF(AND($E32="H",S31&lt;&gt;""),IF(OR(LEFT(S31,1)="T",LEFT(S31,1)="S",LEFT(S31,1)="A",LEFT(S31,1)="F",LEFT(S31,1)="C"),LEFT(S31,1),"R"),DT$18),"")</f>
        <v>10</v>
      </c>
      <c r="DU31" s="108">
        <f t="shared" ref="DU31" si="677">IFERROR(IF(AND($E32="H",T31&lt;&gt;""),IF(OR(LEFT(T31,1)="T",LEFT(T31,1)="S",LEFT(T31,1)="A",LEFT(T31,1)="F",LEFT(T31,1)="C"),LEFT(T31,1),"R"),DU$18),"")</f>
        <v>11</v>
      </c>
      <c r="DV31" s="108">
        <f t="shared" ref="DV31" si="678">IFERROR(IF(AND($E32="H",U31&lt;&gt;""),IF(OR(LEFT(U31,1)="T",LEFT(U31,1)="S",LEFT(U31,1)="A",LEFT(U31,1)="F",LEFT(U31,1)="C"),LEFT(U31,1),"R"),DV$18),"")</f>
        <v>12</v>
      </c>
      <c r="DW31" s="108">
        <f t="shared" ref="DW31" si="679">IFERROR(IF(AND($E32="H",V31&lt;&gt;""),IF(OR(LEFT(V31,1)="T",LEFT(V31,1)="S",LEFT(V31,1)="A",LEFT(V31,1)="F",LEFT(V31,1)="C"),LEFT(V31,1),"R"),DW$18),"")</f>
        <v>13</v>
      </c>
      <c r="DX31" s="108">
        <f t="shared" ref="DX31" si="680">IFERROR(IF(AND($E32="H",W31&lt;&gt;""),IF(OR(LEFT(W31,1)="T",LEFT(W31,1)="S",LEFT(W31,1)="A",LEFT(W31,1)="F",LEFT(W31,1)="C"),LEFT(W31,1),"R"),DX$18),"")</f>
        <v>14</v>
      </c>
      <c r="DY31" s="108">
        <f t="shared" ref="DY31" si="681">IFERROR(IF(AND($E32="H",X31&lt;&gt;""),IF(OR(LEFT(X31,1)="T",LEFT(X31,1)="S",LEFT(X31,1)="A",LEFT(X31,1)="F",LEFT(X31,1)="C"),LEFT(X31,1),"R"),DY$18),"")</f>
        <v>15</v>
      </c>
      <c r="DZ31" s="108">
        <f t="shared" ref="DZ31" si="682">IFERROR(IF(AND($E32="H",Y31&lt;&gt;""),IF(OR(LEFT(Y31,1)="T",LEFT(Y31,1)="S",LEFT(Y31,1)="A",LEFT(Y31,1)="F",LEFT(Y31,1)="C"),LEFT(Y31,1),"R"),DZ$18),"")</f>
        <v>16</v>
      </c>
      <c r="EA31" s="108">
        <f t="shared" ref="EA31" si="683">IFERROR(IF(AND($E32="H",Z31&lt;&gt;""),IF(OR(LEFT(Z31,1)="T",LEFT(Z31,1)="S",LEFT(Z31,1)="A",LEFT(Z31,1)="F",LEFT(Z31,1)="C"),LEFT(Z31,1),"R"),EA$18),"")</f>
        <v>17</v>
      </c>
      <c r="EB31" s="108">
        <f t="shared" ref="EB31" si="684">IFERROR(IF(AND($E32="H",AA31&lt;&gt;""),IF(OR(LEFT(AA31,1)="T",LEFT(AA31,1)="S",LEFT(AA31,1)="A",LEFT(AA31,1)="F",LEFT(AA31,1)="C"),LEFT(AA31,1),"R"),EB$18),"")</f>
        <v>18</v>
      </c>
      <c r="EC31" s="108">
        <f t="shared" ref="EC31" si="685">IFERROR(IF(AND($E32="H",AB31&lt;&gt;""),IF(OR(LEFT(AB31,1)="T",LEFT(AB31,1)="S",LEFT(AB31,1)="A",LEFT(AB31,1)="F",LEFT(AB31,1)="C"),LEFT(AB31,1),"R"),EC$18),"")</f>
        <v>19</v>
      </c>
      <c r="ED31" s="108">
        <f t="shared" ref="ED31" si="686">IFERROR(IF(AND($E32="H",AC31&lt;&gt;""),IF(OR(LEFT(AC31,1)="T",LEFT(AC31,1)="S",LEFT(AC31,1)="A",LEFT(AC31,1)="F",LEFT(AC31,1)="C"),LEFT(AC31,1),"R"),ED$18),"")</f>
        <v>20</v>
      </c>
      <c r="EE31" s="108"/>
      <c r="EF31" s="108"/>
      <c r="EG31" s="108">
        <f t="shared" ref="EG31:EZ31" si="687">IFERROR(IF(J31&lt;&gt;"",UPPER(J31),EG$18),EG$18)</f>
        <v>1</v>
      </c>
      <c r="EH31" s="108">
        <f t="shared" si="687"/>
        <v>2</v>
      </c>
      <c r="EI31" s="108">
        <f t="shared" si="687"/>
        <v>3</v>
      </c>
      <c r="EJ31" s="108">
        <f t="shared" si="687"/>
        <v>4</v>
      </c>
      <c r="EK31" s="108">
        <f t="shared" si="687"/>
        <v>5</v>
      </c>
      <c r="EL31" s="108">
        <f t="shared" si="687"/>
        <v>6</v>
      </c>
      <c r="EM31" s="108">
        <f t="shared" si="687"/>
        <v>7</v>
      </c>
      <c r="EN31" s="108">
        <f t="shared" si="687"/>
        <v>8</v>
      </c>
      <c r="EO31" s="108">
        <f t="shared" si="687"/>
        <v>9</v>
      </c>
      <c r="EP31" s="108">
        <f t="shared" si="687"/>
        <v>10</v>
      </c>
      <c r="EQ31" s="108">
        <f t="shared" si="687"/>
        <v>11</v>
      </c>
      <c r="ER31" s="108">
        <f t="shared" si="687"/>
        <v>12</v>
      </c>
      <c r="ES31" s="108">
        <f t="shared" si="687"/>
        <v>13</v>
      </c>
      <c r="ET31" s="108">
        <f t="shared" si="687"/>
        <v>14</v>
      </c>
      <c r="EU31" s="108">
        <f t="shared" si="687"/>
        <v>15</v>
      </c>
      <c r="EV31" s="108">
        <f t="shared" si="687"/>
        <v>16</v>
      </c>
      <c r="EW31" s="108">
        <f t="shared" si="687"/>
        <v>17</v>
      </c>
      <c r="EX31" s="108">
        <f t="shared" si="687"/>
        <v>18</v>
      </c>
      <c r="EY31" s="108">
        <f t="shared" si="687"/>
        <v>19</v>
      </c>
      <c r="EZ31" s="108">
        <f t="shared" si="687"/>
        <v>20</v>
      </c>
      <c r="FA31" s="108"/>
      <c r="FB31" s="108">
        <f t="shared" ref="FB31" si="688">COUNTIF($DK31:$ED31,FB$18)</f>
        <v>0</v>
      </c>
      <c r="FC31" s="108">
        <f t="shared" si="15"/>
        <v>0</v>
      </c>
      <c r="FD31" s="108">
        <f t="shared" si="15"/>
        <v>0</v>
      </c>
      <c r="FE31" s="108">
        <f t="shared" si="15"/>
        <v>0</v>
      </c>
      <c r="FF31" s="108">
        <f t="shared" si="15"/>
        <v>0</v>
      </c>
      <c r="FG31" s="108">
        <f t="shared" si="15"/>
        <v>0</v>
      </c>
      <c r="FH31" s="108"/>
      <c r="FI31" s="108" t="str">
        <f t="shared" ref="FI31" si="689">IF(AND($F31="Hybrid - Thrust + 2 connections",FI32=0,LEFT($J31,1)="C",LEFT($K31,1)="C",LEFT($L31,1)="C"),"X","")</f>
        <v/>
      </c>
      <c r="FJ31" s="108"/>
      <c r="FL31" s="120" t="e">
        <f>IF(OR(LEFT(#REF!,2)="PL",LEFT(#REF!,2)="PL",LEFT(#REF!,2)="PL",LEFT(#REF!,2)="PL",LEFT(#REF!,2)="PL"),IF($BS$17-BR31&gt;$FL$17,"X",""),"")</f>
        <v>#REF!</v>
      </c>
      <c r="FM31" s="120"/>
      <c r="FN31" s="111" t="str">
        <f>IF(E32=3,_xlfn.NUMBERVALUE(LEFT(J31,1)),"")</f>
        <v/>
      </c>
    </row>
    <row r="32" spans="1:170" ht="12.75" x14ac:dyDescent="0.25">
      <c r="A32" s="40"/>
      <c r="B32" s="41"/>
      <c r="C32" s="41"/>
      <c r="D32" s="41"/>
      <c r="E32" s="21" t="str">
        <f>IF(F31="Acrobatic - Pair","PA",IF(F31="Acrobatic Airborn","A",IF(F31="Acrobatic Balance","B",IF(F31="Acrobatic Combined","C",IF(F31="Acrobatic Platform","P",IF(F31="Technical Required Element",3,IF(LEFT(F31,4)="Hybr","H","")))))))</f>
        <v/>
      </c>
      <c r="F32" s="21" t="str">
        <f>IF(AND(F31="Hybrid - Thrust + 2 connections",BU31="X"),"Hybrid - Thrust",IF(OR(E32="A",E32="B",E32="C",E32="P"),"Acrobatic",""))</f>
        <v/>
      </c>
      <c r="G32" s="43"/>
      <c r="H32" s="222" t="str">
        <f t="shared" ref="H32" si="690">IF(E32="PA",IF(OR(LEFT(J31,1)="L",LEFT(J31,1)="S"),"A-Pair-Lift",IF(OR(LEFT(J31,1)="W",LEFT(J31,1)="T"),"A-Pair-Throw",IF(LEFT(J31,1)="J","A-Pair-Jump","A-Pair"))),IF(OR(E32="A",E32="B",E32="C",E32="P"),CONCATENATE("Acro-",E32),""))</f>
        <v/>
      </c>
      <c r="I32" s="216" t="e">
        <f t="shared" ref="I32" si="691">IF(OR(F31="Hybrid - min 4 swimmers (no DD)",LEFT(F31,5)="Trans"),0,INDEX($BV$3:$BV$9,MATCH(E32,$BU$3:$BU$9,0)))</f>
        <v>#N/A</v>
      </c>
      <c r="J32" s="210">
        <f t="shared" ref="J32" ca="1" si="692">IFERROR(IF($H31="No DD",0,IF(OR(ISBLANK(J31),J31="N/A"),0,INDEX(INDIRECT(AV32),MATCH(J31,INDIRECT(AV31),0)))),0)</f>
        <v>0</v>
      </c>
      <c r="K32" s="210">
        <f t="shared" ref="K32" ca="1" si="693">IFERROR(IF($H31="No DD",0,IF(OR(ISBLANK(K31),K31="N/A"),0,INDEX(INDIRECT(AW32),MATCH(K31,INDIRECT(AW31),0)))),0)</f>
        <v>0</v>
      </c>
      <c r="L32" s="210">
        <f t="shared" ref="L32" ca="1" si="694">IFERROR(IF($H31="No DD",0,IF(OR(ISBLANK(L31),L31="N/A"),0,INDEX(INDIRECT(AX32),MATCH(L31,INDIRECT(AX31),0)))),0)</f>
        <v>0</v>
      </c>
      <c r="M32" s="210">
        <f t="shared" ref="M32" ca="1" si="695">IFERROR(IF($H31="No DD",0,IF(OR(ISBLANK(M31),M31="N/A"),0,INDEX(INDIRECT(AY32),MATCH(M31,INDIRECT(AY31),0)))),0)</f>
        <v>0</v>
      </c>
      <c r="N32" s="210">
        <f t="shared" ref="N32" ca="1" si="696">IFERROR(IF($H31="No DD",0,IF(OR(ISBLANK(N31),N31="N/A"),0,INDEX(INDIRECT(AZ32),MATCH(N31,INDIRECT(AZ31),0)))),0)</f>
        <v>0</v>
      </c>
      <c r="O32" s="210">
        <f t="shared" ref="O32" ca="1" si="697">IFERROR(IF($H31="No DD",0,IF(OR(ISBLANK(O31),O31="N/A"),0,INDEX(INDIRECT(BA32),MATCH(O31,INDIRECT(BA31),0)))),0)</f>
        <v>0</v>
      </c>
      <c r="P32" s="210">
        <f t="shared" ref="P32" ca="1" si="698">IFERROR(IF($H31="No DD",0,IF(OR(ISBLANK(P31),P31="N/A"),0,INDEX(INDIRECT(BB32),MATCH(P31,INDIRECT(BB31),0)))),0)</f>
        <v>0</v>
      </c>
      <c r="Q32" s="210">
        <f t="shared" ref="Q32" ca="1" si="699">IFERROR(IF($H31="No DD",0,IF(OR(ISBLANK(Q31),Q31="N/A"),0,INDEX(INDIRECT(BC32),MATCH(Q31,INDIRECT(BC31),0)))),0)</f>
        <v>0</v>
      </c>
      <c r="R32" s="210">
        <f t="shared" ref="R32" ca="1" si="700">IFERROR(IF($H31="No DD",0,IF(OR(ISBLANK(R31),R31="N/A"),0,INDEX(INDIRECT(BD32),MATCH(R31,INDIRECT(BD31),0)))),0)</f>
        <v>0</v>
      </c>
      <c r="S32" s="210">
        <f t="shared" ref="S32" ca="1" si="701">IFERROR(IF($H31="No DD",0,IF(OR(ISBLANK(S31),S31="N/A"),0,INDEX(INDIRECT(BE32),MATCH(S31,INDIRECT(BE31),0)))),0)</f>
        <v>0</v>
      </c>
      <c r="T32" s="210">
        <f t="shared" ref="T32" ca="1" si="702">IFERROR(IF($H31="No DD",0,IF(OR(ISBLANK(T31),T31="N/A"),0,INDEX(INDIRECT(BF32),MATCH(T31,INDIRECT(BF31),0)))),0)</f>
        <v>0</v>
      </c>
      <c r="U32" s="210">
        <f t="shared" ref="U32" ca="1" si="703">IFERROR(IF($H31="No DD",0,IF(OR(ISBLANK(U31),U31="N/A"),0,INDEX(INDIRECT(BG32),MATCH(U31,INDIRECT(BG31),0)))),0)</f>
        <v>0</v>
      </c>
      <c r="V32" s="210">
        <f t="shared" ref="V32" ca="1" si="704">IFERROR(IF($H31="No DD",0,IF(OR(ISBLANK(V31),V31="N/A"),0,INDEX(INDIRECT(BH32),MATCH(V31,INDIRECT(BH31),0)))),0)</f>
        <v>0</v>
      </c>
      <c r="W32" s="210">
        <f t="shared" ref="W32" ca="1" si="705">IFERROR(IF($H31="No DD",0,IF(OR(ISBLANK(W31),W31="N/A"),0,INDEX(INDIRECT(BI32),MATCH(W31,INDIRECT(BI31),0)))),0)</f>
        <v>0</v>
      </c>
      <c r="X32" s="210">
        <f t="shared" ref="X32" ca="1" si="706">IFERROR(IF($H31="No DD",0,IF(OR(ISBLANK(X31),X31="N/A"),0,INDEX(INDIRECT(BJ32),MATCH(X31,INDIRECT(BJ31),0)))),0)</f>
        <v>0</v>
      </c>
      <c r="Y32" s="210">
        <f t="shared" ref="Y32" ca="1" si="707">IFERROR(IF($H31="No DD",0,IF(OR(ISBLANK(Y31),Y31="N/A"),0,INDEX(INDIRECT(BK32),MATCH(Y31,INDIRECT(BK31),0)))),0)</f>
        <v>0</v>
      </c>
      <c r="Z32" s="210">
        <f t="shared" ref="Z32" ca="1" si="708">IFERROR(IF($H31="No DD",0,IF(OR(ISBLANK(Z31),Z31="N/A"),0,INDEX(INDIRECT(BL32),MATCH(Z31,INDIRECT(BL31),0)))),0)</f>
        <v>0</v>
      </c>
      <c r="AA32" s="210">
        <f t="shared" ref="AA32" ca="1" si="709">IFERROR(IF($H31="No DD",0,IF(OR(ISBLANK(AA31),AA31="N/A"),0,INDEX(INDIRECT(BM32),MATCH(AA31,INDIRECT(BM31),0)))),0)</f>
        <v>0</v>
      </c>
      <c r="AB32" s="210">
        <f t="shared" ref="AB32" ca="1" si="710">IFERROR(IF($H31="No DD",0,IF(OR(ISBLANK(AB31),AB31="N/A"),0,INDEX(INDIRECT(BN32),MATCH(AB31,INDIRECT(BN31),0)))),0)</f>
        <v>0</v>
      </c>
      <c r="AC32" s="210">
        <f t="shared" ref="AC32" ca="1" si="711">IFERROR(IF($H31="No DD",0,IF(OR(ISBLANK(AC31),AC31="N/A"),0,INDEX(INDIRECT(BO32),MATCH(AC31,INDIRECT(BO31),0)))),0)</f>
        <v>0</v>
      </c>
      <c r="AD32" s="211" t="str">
        <f>IFERROR(IF(E32="H",INDEX(HybridBonus_Value,MATCH(AD31,HybridBonus_Code,0)),""),"")</f>
        <v/>
      </c>
      <c r="AE32" s="209" t="str">
        <f t="shared" ref="AE32" si="712">IFERROR(IF(J31&lt;&gt;"",SUM(I32:AD32),""),"")</f>
        <v/>
      </c>
      <c r="AF32" s="76"/>
      <c r="AG32" s="76"/>
      <c r="AH32" s="121"/>
      <c r="AI32" s="121"/>
      <c r="AJ32" s="121"/>
      <c r="AK32" s="121"/>
      <c r="AL32" s="121"/>
      <c r="AM32" s="121"/>
      <c r="AN32" s="121"/>
      <c r="AO32" s="121"/>
      <c r="AP32" s="121"/>
      <c r="AQ32" s="121"/>
      <c r="AR32" s="121"/>
      <c r="AS32" s="121"/>
      <c r="AT32" s="110"/>
      <c r="AU32" s="121"/>
      <c r="AV32" s="111" t="str">
        <f t="shared" ref="AV32" si="713">IF($E32="H","HybridDD_Value",IF($E32=3,"TreDD_Value",IF($E32="PA","AcroPair_Value",IF(LEFT($F31,4)="Acro",CONCATENATE(AV$16,$E32,"_Value"),""))))</f>
        <v/>
      </c>
      <c r="AW32" s="111" t="str">
        <f t="shared" ref="AW32:AX32" si="714">IF($E32="H","HybridDD_Value",IF($E32=3,"",IF(LEFT($F31,4)="Acro",CONCATENATE(AW$16,$E32,"_Value"),IF($E32="PA","",""))))</f>
        <v/>
      </c>
      <c r="AX32" s="111" t="str">
        <f t="shared" si="714"/>
        <v/>
      </c>
      <c r="AY32" s="111" t="str">
        <f t="shared" ref="AY32:BD32" si="715">IF($E32="H","HybridDD_Value",IF($E32=3,"",IF(LEFT($F31,4)="Acro",CONCATENATE(AY$16,$E32,"_Value"),IF($E32="PA","",""))))</f>
        <v/>
      </c>
      <c r="AZ32" s="111" t="str">
        <f t="shared" si="715"/>
        <v/>
      </c>
      <c r="BA32" s="111" t="str">
        <f t="shared" si="715"/>
        <v/>
      </c>
      <c r="BB32" s="111" t="str">
        <f t="shared" si="715"/>
        <v/>
      </c>
      <c r="BC32" s="111" t="str">
        <f t="shared" si="715"/>
        <v/>
      </c>
      <c r="BD32" s="111" t="str">
        <f t="shared" si="715"/>
        <v/>
      </c>
      <c r="BE32" s="110" t="str">
        <f t="shared" ref="BE32" si="716">IF($E32="H","HybridDD_Value","Data!$BI$1:$BI$5")</f>
        <v>Data!$BI$1:$BI$5</v>
      </c>
      <c r="BF32" s="110" t="str">
        <f t="shared" si="522"/>
        <v>Data!$BI$1:$BI$5</v>
      </c>
      <c r="BG32" s="110" t="str">
        <f t="shared" si="522"/>
        <v>Data!$BI$1:$BI$5</v>
      </c>
      <c r="BH32" s="110" t="str">
        <f t="shared" si="522"/>
        <v>Data!$BI$1:$BI$5</v>
      </c>
      <c r="BI32" s="110" t="str">
        <f t="shared" si="522"/>
        <v>Data!$BI$1:$BI$5</v>
      </c>
      <c r="BJ32" s="110" t="str">
        <f t="shared" si="522"/>
        <v>Data!$BI$1:$BI$5</v>
      </c>
      <c r="BK32" s="110" t="str">
        <f t="shared" si="522"/>
        <v>Data!$BI$1:$BI$5</v>
      </c>
      <c r="BL32" s="110" t="str">
        <f t="shared" si="522"/>
        <v>Data!$BI$1:$BI$5</v>
      </c>
      <c r="BM32" s="110" t="str">
        <f t="shared" si="522"/>
        <v>Data!$BI$1:$BI$5</v>
      </c>
      <c r="BN32" s="110" t="str">
        <f t="shared" si="522"/>
        <v>Data!$BI$1:$BI$5</v>
      </c>
      <c r="BO32" s="110" t="str">
        <f t="shared" si="522"/>
        <v>Data!$BI$1:$BI$5</v>
      </c>
      <c r="BP32" s="121"/>
      <c r="BQ32" s="121"/>
      <c r="BR32" s="122" t="str">
        <f>IFERROR(IF(AND($BS$6="T",$BS$8="T",LEFT(F31,4)="Acro",AE32&gt;3),"X",IF($N$7="X",IF(AND(E32="C",AE32&gt;$CA$6),"X",IF(AND(E32="A",AE32&gt;$CA$4),"X",IF(AND(E32="B",AE32&gt;$CA$5),"X",IF(AND(E32="P",AE32&gt;$CA$7),"X","")))),"")),"")</f>
        <v/>
      </c>
      <c r="BS32" s="114"/>
      <c r="BU32" s="108"/>
      <c r="CA32" s="111"/>
      <c r="CB32" s="111"/>
      <c r="CC32" s="111"/>
      <c r="CG32" s="108" t="str">
        <f t="shared" si="9"/>
        <v/>
      </c>
      <c r="CH32" s="108" t="str">
        <f t="shared" si="10"/>
        <v/>
      </c>
      <c r="CI32" s="108" t="str">
        <f t="shared" si="11"/>
        <v/>
      </c>
      <c r="CJ32" s="108" t="str">
        <f t="shared" si="12"/>
        <v/>
      </c>
      <c r="CR32" s="108">
        <v>14</v>
      </c>
      <c r="DI32" s="108" t="str" cm="1">
        <f t="array" ref="DI32">IFERROR(INDEX(DK32:ED32,MATCH(TRUE,INDEX((DK32:ED32&lt;&gt;""),),0)),"")</f>
        <v/>
      </c>
      <c r="DK32" s="108" t="str">
        <f t="shared" ref="DK32" si="717">IF(F31="Hybrid - Thrust + 2 connections",IF(COUNTIF($DK31:$ED31,DK31)&gt;1,DK31,""),IF(COUNTIF($DK31:$ED31,DK31)&gt;5,DK31,""))</f>
        <v/>
      </c>
      <c r="DL32" s="108" t="str">
        <f t="shared" ref="DL32" si="718">IF(G31="Hybrid - Thrust + 2 connections",IF(COUNTIF($DK31:$ED31,DL31)&gt;1,DL31,""),IF(COUNTIF($DK31:$ED31,DL31)&gt;5,DL31,""))</f>
        <v/>
      </c>
      <c r="DM32" s="108" t="str">
        <f t="shared" ref="DM32" si="719">IF(H31="Hybrid - Thrust + 2 connections",IF(COUNTIF($DK31:$ED31,DM31)&gt;1,DM31,""),IF(COUNTIF($DK31:$ED31,DM31)&gt;5,DM31,""))</f>
        <v/>
      </c>
      <c r="DN32" s="108" t="str">
        <f t="shared" ref="DN32" si="720">IF(I31="Hybrid - Thrust + 2 connections",IF(COUNTIF($DK31:$ED31,DN31)&gt;1,DN31,""),IF(COUNTIF($DK31:$ED31,DN31)&gt;5,DN31,""))</f>
        <v/>
      </c>
      <c r="DO32" s="108" t="str">
        <f t="shared" ref="DO32" si="721">IF(J31="Hybrid - Thrust + 2 connections",IF(COUNTIF($DK31:$ED31,DO31)&gt;1,DO31,""),IF(COUNTIF($DK31:$ED31,DO31)&gt;5,DO31,""))</f>
        <v/>
      </c>
      <c r="DP32" s="108" t="str">
        <f t="shared" ref="DP32" si="722">IF(K31="Hybrid - Thrust + 2 connections",IF(COUNTIF($DK31:$ED31,DP31)&gt;1,DP31,""),IF(COUNTIF($DK31:$ED31,DP31)&gt;5,DP31,""))</f>
        <v/>
      </c>
      <c r="DQ32" s="108" t="str">
        <f t="shared" ref="DQ32" si="723">IF(L31="Hybrid - Thrust + 2 connections",IF(COUNTIF($DK31:$ED31,DQ31)&gt;1,DQ31,""),IF(COUNTIF($DK31:$ED31,DQ31)&gt;5,DQ31,""))</f>
        <v/>
      </c>
      <c r="DR32" s="108" t="str">
        <f t="shared" ref="DR32" si="724">IF(M31="Hybrid - Thrust + 2 connections",IF(COUNTIF($DK31:$ED31,DR31)&gt;1,DR31,""),IF(COUNTIF($DK31:$ED31,DR31)&gt;5,DR31,""))</f>
        <v/>
      </c>
      <c r="DS32" s="108" t="str">
        <f t="shared" ref="DS32" si="725">IF(N31="Hybrid - Thrust + 2 connections",IF(COUNTIF($DK31:$ED31,DS31)&gt;1,DS31,""),IF(COUNTIF($DK31:$ED31,DS31)&gt;5,DS31,""))</f>
        <v/>
      </c>
      <c r="DT32" s="108" t="str">
        <f t="shared" ref="DT32" si="726">IF(O31="Hybrid - Thrust + 2 connections",IF(COUNTIF($DK31:$ED31,DT31)&gt;1,DT31,""),IF(COUNTIF($DK31:$ED31,DT31)&gt;5,DT31,""))</f>
        <v/>
      </c>
      <c r="DU32" s="108" t="str">
        <f t="shared" ref="DU32" si="727">IF(P31="Hybrid - Thrust + 2 connections",IF(COUNTIF($DK31:$ED31,DU31)&gt;1,DU31,""),IF(COUNTIF($DK31:$ED31,DU31)&gt;5,DU31,""))</f>
        <v/>
      </c>
      <c r="DV32" s="108" t="str">
        <f t="shared" ref="DV32" si="728">IF(Q31="Hybrid - Thrust + 2 connections",IF(COUNTIF($DK31:$ED31,DV31)&gt;1,DV31,""),IF(COUNTIF($DK31:$ED31,DV31)&gt;5,DV31,""))</f>
        <v/>
      </c>
      <c r="DW32" s="108" t="str">
        <f t="shared" ref="DW32" si="729">IF(R31="Hybrid - Thrust + 2 connections",IF(COUNTIF($DK31:$ED31,DW31)&gt;1,DW31,""),IF(COUNTIF($DK31:$ED31,DW31)&gt;5,DW31,""))</f>
        <v/>
      </c>
      <c r="DX32" s="108" t="str">
        <f t="shared" ref="DX32" si="730">IF(S31="Hybrid - Thrust + 2 connections",IF(COUNTIF($DK31:$ED31,DX31)&gt;1,DX31,""),IF(COUNTIF($DK31:$ED31,DX31)&gt;5,DX31,""))</f>
        <v/>
      </c>
      <c r="DY32" s="108" t="str">
        <f t="shared" ref="DY32" si="731">IF(T31="Hybrid - Thrust + 2 connections",IF(COUNTIF($DK31:$ED31,DY31)&gt;1,DY31,""),IF(COUNTIF($DK31:$ED31,DY31)&gt;5,DY31,""))</f>
        <v/>
      </c>
      <c r="DZ32" s="108" t="str">
        <f t="shared" ref="DZ32" si="732">IF(U31="Hybrid - Thrust + 2 connections",IF(COUNTIF($DK31:$ED31,DZ31)&gt;1,DZ31,""),IF(COUNTIF($DK31:$ED31,DZ31)&gt;5,DZ31,""))</f>
        <v/>
      </c>
      <c r="EA32" s="108" t="str">
        <f t="shared" ref="EA32" si="733">IF(V31="Hybrid - Thrust + 2 connections",IF(COUNTIF($DK31:$ED31,EA31)&gt;1,EA31,""),IF(COUNTIF($DK31:$ED31,EA31)&gt;5,EA31,""))</f>
        <v/>
      </c>
      <c r="EB32" s="108" t="str">
        <f t="shared" ref="EB32" si="734">IF(W31="Hybrid - Thrust + 2 connections",IF(COUNTIF($DK31:$ED31,EB31)&gt;1,EB31,""),IF(COUNTIF($DK31:$ED31,EB31)&gt;5,EB31,""))</f>
        <v/>
      </c>
      <c r="EC32" s="108" t="str">
        <f t="shared" ref="EC32" si="735">IF(X31="Hybrid - Thrust + 2 connections",IF(COUNTIF($DK31:$ED31,EC31)&gt;1,EC31,""),IF(COUNTIF($DK31:$ED31,EC31)&gt;5,EC31,""))</f>
        <v/>
      </c>
      <c r="ED32" s="108" t="str">
        <f t="shared" ref="ED32" si="736">IF(Y31="Hybrid - Thrust + 2 connections",IF(COUNTIF($DK31:$ED31,ED31)&gt;1,ED31,""),IF(COUNTIF($DK31:$ED31,ED31)&gt;5,ED31,""))</f>
        <v/>
      </c>
      <c r="EE32" s="108"/>
      <c r="EF32" s="108" t="str" cm="1">
        <f t="array" ref="EF32">IFERROR(INDEX(EG32:EZ32,MATCH(TRUE,INDEX((EG32:EZ32&lt;&gt;""),),0)),"")</f>
        <v/>
      </c>
      <c r="EG32" s="108" t="str">
        <f t="shared" ref="EG32" si="737">IF(COUNTIF($EG31:$EZ31,EG31)&gt;3,EG31,"")</f>
        <v/>
      </c>
      <c r="EH32" s="108" t="str">
        <f t="shared" ref="EH32" si="738">IF(COUNTIF($EG31:$EZ31,EH31)&gt;3,EH31,"")</f>
        <v/>
      </c>
      <c r="EI32" s="108" t="str">
        <f t="shared" ref="EI32" si="739">IF(COUNTIF($EG31:$EZ31,EI31)&gt;3,EI31,"")</f>
        <v/>
      </c>
      <c r="EJ32" s="108" t="str">
        <f t="shared" ref="EJ32" si="740">IF(COUNTIF($EG31:$EZ31,EJ31)&gt;3,EJ31,"")</f>
        <v/>
      </c>
      <c r="EK32" s="108" t="str">
        <f t="shared" ref="EK32" si="741">IF(COUNTIF($EG31:$EZ31,EK31)&gt;3,EK31,"")</f>
        <v/>
      </c>
      <c r="EL32" s="108" t="str">
        <f t="shared" ref="EL32" si="742">IF(COUNTIF($EG31:$EZ31,EL31)&gt;3,EL31,"")</f>
        <v/>
      </c>
      <c r="EM32" s="108" t="str">
        <f t="shared" ref="EM32" si="743">IF(COUNTIF($EG31:$EZ31,EM31)&gt;3,EM31,"")</f>
        <v/>
      </c>
      <c r="EN32" s="108" t="str">
        <f t="shared" ref="EN32" si="744">IF(COUNTIF($EG31:$EZ31,EN31)&gt;3,EN31,"")</f>
        <v/>
      </c>
      <c r="EO32" s="108" t="str">
        <f t="shared" ref="EO32" si="745">IF(COUNTIF($EG31:$EZ31,EO31)&gt;3,EO31,"")</f>
        <v/>
      </c>
      <c r="EP32" s="108" t="str">
        <f t="shared" ref="EP32" si="746">IF(COUNTIF($EG31:$EZ31,EP31)&gt;3,EP31,"")</f>
        <v/>
      </c>
      <c r="EQ32" s="108" t="str">
        <f t="shared" ref="EQ32" si="747">IF(COUNTIF($EG31:$EZ31,EQ31)&gt;3,EQ31,"")</f>
        <v/>
      </c>
      <c r="ER32" s="108" t="str">
        <f t="shared" ref="ER32" si="748">IF(COUNTIF($EG31:$EZ31,ER31)&gt;3,ER31,"")</f>
        <v/>
      </c>
      <c r="ES32" s="108" t="str">
        <f t="shared" ref="ES32" si="749">IF(COUNTIF($EG31:$EZ31,ES31)&gt;3,ES31,"")</f>
        <v/>
      </c>
      <c r="ET32" s="108" t="str">
        <f t="shared" ref="ET32" si="750">IF(COUNTIF($EG31:$EZ31,ET31)&gt;3,ET31,"")</f>
        <v/>
      </c>
      <c r="EU32" s="108" t="str">
        <f t="shared" ref="EU32" si="751">IF(COUNTIF($EG31:$EZ31,EU31)&gt;3,EU31,"")</f>
        <v/>
      </c>
      <c r="EV32" s="108" t="str">
        <f t="shared" ref="EV32" si="752">IF(COUNTIF($EG31:$EZ31,EV31)&gt;3,EV31,"")</f>
        <v/>
      </c>
      <c r="EW32" s="108" t="str">
        <f t="shared" ref="EW32" si="753">IF(COUNTIF($EG31:$EZ31,EW31)&gt;3,EW31,"")</f>
        <v/>
      </c>
      <c r="EX32" s="108" t="str">
        <f t="shared" ref="EX32" si="754">IF(COUNTIF($EG31:$EZ31,EX31)&gt;3,EX31,"")</f>
        <v/>
      </c>
      <c r="EY32" s="108" t="str">
        <f t="shared" ref="EY32" si="755">IF(COUNTIF($EG31:$EZ31,EY31)&gt;3,EY31,"")</f>
        <v/>
      </c>
      <c r="EZ32" s="108" t="str">
        <f t="shared" ref="EZ32" si="756">IF(COUNTIF($EG31:$EZ31,EZ31)&gt;3,EZ31,"")</f>
        <v/>
      </c>
      <c r="FA32" s="108"/>
      <c r="FB32" s="108"/>
      <c r="FC32" s="108"/>
      <c r="FD32" s="108"/>
      <c r="FE32" s="108"/>
      <c r="FF32" s="108"/>
      <c r="FG32" s="108"/>
      <c r="FH32" s="108"/>
      <c r="FI32" s="108" t="str">
        <f t="shared" ref="FI32" si="757">IF($F31="Hybrid - Thrust + 2 connections",COUNTBLANK(J31:L31),"")</f>
        <v/>
      </c>
      <c r="FJ32" s="108"/>
      <c r="FN32" s="111"/>
    </row>
    <row r="33" spans="1:170" ht="12.75" x14ac:dyDescent="0.25">
      <c r="A33" s="40" t="str">
        <f>IF(AND(E31="",A31&lt;&gt;""),IF(BS31=$BS$18,"",IF(C31&lt;&gt;"",IF(D31=59,MINUTE(BS31)+1,MINUTE(BS31)),"")),"")</f>
        <v/>
      </c>
      <c r="B33" s="41" t="str">
        <f>IF(AND(E31="",B31&lt;&gt;""),IF(BS31=$BS$18,"",IF(C31&lt;&gt;"",IF(D31=59,0,SECOND(BS31)+1),"")),"")</f>
        <v/>
      </c>
      <c r="C33" s="51"/>
      <c r="D33" s="51"/>
      <c r="E33" s="9"/>
      <c r="F33" s="52"/>
      <c r="G33" s="43" t="str">
        <f>IF(F33&lt;&gt;"",IF(OR(F33="Transition",F33="Transition - Surface Connection"),0,MAX($G$19:G32)+1),"")</f>
        <v/>
      </c>
      <c r="H33" s="57" t="str">
        <f t="shared" ref="H33" si="758">IFERROR(IF(E34="3","",IF(OR(F33="Hybrid - min 4 swimmers (no DD)",LEFT(F33,5)="Trans"),"No DD",CONCATENATE("BM = ",I34))),"")</f>
        <v/>
      </c>
      <c r="I33" s="58"/>
      <c r="J33" s="130"/>
      <c r="K33" s="137"/>
      <c r="L33" s="137"/>
      <c r="M33" s="137"/>
      <c r="N33" s="137"/>
      <c r="O33" s="137"/>
      <c r="P33" s="137"/>
      <c r="Q33" s="137"/>
      <c r="R33" s="137"/>
      <c r="S33" s="137"/>
      <c r="T33" s="137"/>
      <c r="U33" s="137"/>
      <c r="V33" s="137"/>
      <c r="W33" s="137"/>
      <c r="X33" s="137"/>
      <c r="Y33" s="137"/>
      <c r="Z33" s="137"/>
      <c r="AA33" s="137"/>
      <c r="AB33" s="137"/>
      <c r="AC33" s="137"/>
      <c r="AD33" s="191"/>
      <c r="AE33" s="44"/>
      <c r="AF33" s="75"/>
      <c r="AG33" s="75"/>
      <c r="AH33" s="110"/>
      <c r="AI33" s="110"/>
      <c r="AJ33" s="110"/>
      <c r="AK33" s="110"/>
      <c r="AL33" s="110"/>
      <c r="AM33" s="110"/>
      <c r="AN33" s="110"/>
      <c r="AO33" s="110"/>
      <c r="AP33" s="110"/>
      <c r="AQ33" s="110"/>
      <c r="AR33" s="110"/>
      <c r="AS33" s="110"/>
      <c r="AT33" s="110" t="str">
        <f>IFERROR(IF(F33&lt;&gt;"",INDEX(Parts_Active,MATCH(F33,Parts_Active,0)),""),"No")</f>
        <v/>
      </c>
      <c r="AU33" s="110"/>
      <c r="AV33" s="110" t="str">
        <f t="shared" ref="AV33" si="759">IF($E34="H",IF($F33="Hybrid - Thrust + 2 connections","Hybrid_Mix_Req","HybridDD_Code"),IF($E34=3,"TreDD_Code",IF($E34="PA","AcroPair_Code",IF(LEFT($F33,4)="Acro",CONCATENATE(AV$16,$E34,"_Code"),"Data!$BI$1:$BI$5"))))</f>
        <v>Data!$BI$1:$BI$5</v>
      </c>
      <c r="AW33" s="110" t="str">
        <f t="shared" ref="AW33" si="760">IF($E34="H",IF($F33="Hybrid - Thrust + 2 connections","Hybrid_Mix_Req","HybridDD_Code"),IF($E34=3,"TreDD_Code",IF($E34="PA","AcroPair_Code",IF(LEFT($F33,4)="Acro",CONCATENATE(AW$16,$E34,"_Code"),"Data!$BI$1:$BI$5"))))</f>
        <v>Data!$BI$1:$BI$5</v>
      </c>
      <c r="AX33" s="110" t="str">
        <f t="shared" ref="AX33" si="761">IF($E34="H",IF($F33="Hybrid - Thrust + 2 connections","Hybrid_Mix_Req","HybridDD_Code"),IF($E34=3,"TreDD_Code",IF($E34="PA","AcroPair_Code",IF(LEFT($F33,4)="Acro",CONCATENATE(AX$16,$E34,"_Code"),"Data!$BI$1:$BI$5"))))</f>
        <v>Data!$BI$1:$BI$5</v>
      </c>
      <c r="AY33" s="110" t="str">
        <f t="shared" ref="AY33" si="762">IF($E34="H",IF($F33="Hybrid - Thrust + 2 connections","Data!$BI$1:$BI$5","HybridDD_Code"),IF($E34=3,"Data!$BI$1:$BI$5",IF(LEFT($F33,4)="Acro",CONCATENATE(AY$16,$E34,"_Code"),IF($E34="PA","","Data!$BI$1:$BI$5"))))</f>
        <v>Data!$BI$1:$BI$5</v>
      </c>
      <c r="AZ33" s="110" t="str">
        <f t="shared" ref="AZ33" si="763">IF($E34="H",IF($F33="Hybrid - Thrust + 2 connections","Data!$BI$1:$BI$5","HybridDD_Code"),IF($E34=3,"Data!$BI$1:$BI$5",IF(LEFT($F33,4)="Acro",CONCATENATE(AZ$16,$E34,"_Code"),IF($E34="PA","","Data!$BI$1:$BI$5"))))</f>
        <v>Data!$BI$1:$BI$5</v>
      </c>
      <c r="BA33" s="110" t="str">
        <f t="shared" ref="BA33" si="764">IF($E34="H",IF($F33="Hybrid - Thrust + 2 connections","Data!$BI$1:$BI$5","HybridDD_Code"),IF($E34=3,"Data!$BI$1:$BI$5",IF(LEFT($F33,4)="Acro",CONCATENATE(BA$16,$E34,"_Code"),IF($E34="PA","","Data!$BI$1:$BI$5"))))</f>
        <v>Data!$BI$1:$BI$5</v>
      </c>
      <c r="BB33" s="110" t="str">
        <f t="shared" ref="BB33" si="765">IF($E34="H",IF($F33="Hybrid - Thrust + 2 connections","Data!$BI$1:$BI$5","HybridDD_Code"),IF($E34=3,"Data!$BI$1:$BI$5",IF(LEFT($F33,4)="Acro",CONCATENATE(BB$16,$E34,"_Code"),IF($E34="PA","","Data!$BI$1:$BI$5"))))</f>
        <v>Data!$BI$1:$BI$5</v>
      </c>
      <c r="BC33" s="110" t="str">
        <f t="shared" ref="BC33" si="766">IF($E34="H",IF($F33="Hybrid - Thrust + 2 connections","Data!$BI$1:$BI$5","HybridDD_Code"),IF($E34=3,"Data!$BI$1:$BI$5",IF(LEFT($F33,4)="Acro",CONCATENATE(BC$16,$E34,"_Code"),IF($E34="PA","","Data!$BI$1:$BI$5"))))</f>
        <v>Data!$BI$1:$BI$5</v>
      </c>
      <c r="BD33" s="110" t="str">
        <f t="shared" ref="BD33" si="767">IF($E34="H",IF($F33="Hybrid - Thrust + 2 connections","Data!$BI$1:$BI$5","HybridDD_Code"),IF($E34=3,"Data!$BI$1:$BI$5",IF(LEFT($F33,4)="Acro",CONCATENATE(BD$16,$E34,"_Code"),IF($E34="PA","","Data!$BI$1:$BI$5"))))</f>
        <v>Data!$BI$1:$BI$5</v>
      </c>
      <c r="BE33" s="110" t="str">
        <f t="shared" ref="BE33" si="768">IF($E34="H",IF($F33="Hybrid - Thrust + 2 connections","Data!$BI$1:$BI$5","HybridDD_Code"),"Data!$BI$1:$BI$5")</f>
        <v>Data!$BI$1:$BI$5</v>
      </c>
      <c r="BF33" s="110" t="str">
        <f t="shared" si="522"/>
        <v>Data!$BI$1:$BI$5</v>
      </c>
      <c r="BG33" s="110" t="str">
        <f t="shared" si="522"/>
        <v>Data!$BI$1:$BI$5</v>
      </c>
      <c r="BH33" s="110" t="str">
        <f t="shared" si="522"/>
        <v>Data!$BI$1:$BI$5</v>
      </c>
      <c r="BI33" s="110" t="str">
        <f t="shared" si="522"/>
        <v>Data!$BI$1:$BI$5</v>
      </c>
      <c r="BJ33" s="110" t="str">
        <f t="shared" si="522"/>
        <v>Data!$BI$1:$BI$5</v>
      </c>
      <c r="BK33" s="110" t="str">
        <f t="shared" si="522"/>
        <v>Data!$BI$1:$BI$5</v>
      </c>
      <c r="BL33" s="110" t="str">
        <f t="shared" si="522"/>
        <v>Data!$BI$1:$BI$5</v>
      </c>
      <c r="BM33" s="110" t="str">
        <f t="shared" si="522"/>
        <v>Data!$BI$1:$BI$5</v>
      </c>
      <c r="BN33" s="110" t="str">
        <f t="shared" si="522"/>
        <v>Data!$BI$1:$BI$5</v>
      </c>
      <c r="BO33" s="110" t="str">
        <f t="shared" si="522"/>
        <v>Data!$BI$1:$BI$5</v>
      </c>
      <c r="BP33" s="110"/>
      <c r="BQ33" s="110"/>
      <c r="BR33" s="113" t="str">
        <f t="shared" ref="BR33" si="769">IFERROR(TIME(0,A33,B33),"")</f>
        <v/>
      </c>
      <c r="BS33" s="114">
        <f>IFERROR(TIME(0,C33,D33),"")</f>
        <v>0</v>
      </c>
      <c r="BT33" s="114" t="str">
        <f t="shared" ref="BT33" si="770">IF(BS33&gt;$D$12,"X","")</f>
        <v/>
      </c>
      <c r="BU33" s="108" t="str">
        <f>IF(AND(F33="Hybrid - Thrust + 2 connections",OR(LEFT(J33,1)="T",LEFT(K33,1)="T",LEFT(L33,1)="T",LEFT(NG33,1)="T",LEFT(M33,1)="T",LEFT(N33,1)="T",LEFT(O33,1)="T",LEFT(P33,1)="T",LEFT(Q33,1)="T",LEFT(R33,1)="T",LEFT(S33,1)="T",LEFT(T33,1)="T",LEFT(U33,1)="T",LEFT(V33,1)="T",LEFT(W33,1)="T",LEFT(X33,1)="T",LEFT(AA33,1)="T",LEFT(AB33,1)="T",LEFT(AC33,1)="T")),IF(OR(LEN(J33)=2,LEN(K33)=2,LEN(L33)=2,LEN(M33)=2,LEN(N33)=2,LEN(O33)=2,LEN(P33)=2,LEN(Q33)=2,LEN(R33)=2,LEN(S33)=2,LEN(T33)=2,LEN(U33)=2,LEN(V33)=2,LEN(W33)=2,LEN(X33)=2,LEN(Y33)=2,LEN(Z33)=2,LEN(AA33)=2,LEN(AB33)=2,LEN(AC33)=2),"X",""),"")</f>
        <v/>
      </c>
      <c r="BW33" s="108" t="str">
        <f>IF(LEFT(F33,4)="Acro",IF(AND(N33&lt;&gt;"",M33=RIGHT(N33,2)),"X","OK"),"")</f>
        <v/>
      </c>
      <c r="BX33" s="110" t="str">
        <f t="shared" ref="BX33:CE33" si="771">IFERROR(IF(AND(LEFT($F33,4)="Acro",INDEX(Requ_App,MATCH(AV33,Requ_Code,0))="No"),"X",""),"")</f>
        <v/>
      </c>
      <c r="BY33" s="110" t="str">
        <f t="shared" si="771"/>
        <v/>
      </c>
      <c r="BZ33" s="110" t="str">
        <f t="shared" si="771"/>
        <v/>
      </c>
      <c r="CA33" s="110" t="str">
        <f t="shared" si="771"/>
        <v/>
      </c>
      <c r="CB33" s="110" t="str">
        <f t="shared" si="771"/>
        <v/>
      </c>
      <c r="CC33" s="110" t="str">
        <f t="shared" si="771"/>
        <v/>
      </c>
      <c r="CD33" s="110" t="str">
        <f t="shared" si="771"/>
        <v/>
      </c>
      <c r="CE33" s="110" t="str">
        <f t="shared" si="771"/>
        <v/>
      </c>
      <c r="CF33" s="110" t="str">
        <f>IFERROR(IF(AND(LEFT($F33,4)="Acro",INDEX(Requ_App,MATCH(BC33,Requ_Code,0))="No"),"X",""),"")</f>
        <v/>
      </c>
      <c r="CG33" s="108" t="str">
        <f t="shared" si="9"/>
        <v/>
      </c>
      <c r="CH33" s="108" t="str">
        <f t="shared" si="10"/>
        <v/>
      </c>
      <c r="CI33" s="108" t="str">
        <f t="shared" si="11"/>
        <v/>
      </c>
      <c r="CJ33" s="108" t="str">
        <f t="shared" si="12"/>
        <v/>
      </c>
      <c r="CN33" s="108">
        <f t="shared" ref="CN33" si="772">IF(AND(E34="A",OR(Q33="Grip",Q33="Conn",Q33="Catch")),"A1",IF(AND(E34="A",OR(Q33="Hula",Q33="RetSq",Q33="RetPa")),"A2",IF(AND(E34="B",OR(Q33="Twirl",Q33="RotF")),"B1",IF(AND(E34="B",OR(Q33="Moon",Q33="Mov")),"B2",IF(AND(E34="B",Q33="Hold"),"B3",IF(AND(E34="P",OR(Q33="Porp",Q33="Spitch")),"P1",IF(AND(E34="P",OR(Q33="Dive",Q33="Ps1",Q33="Ps1t0.5",Q33="Ps1op",Q33="Ps1t0,5o",Q33="Ps1t1",Q33="CH+")),"P2",IF(AND(E34="P",OR(Q33="Spider",Q33="Climb")),"P3",IF(AND(E34="P",OR(Q33="Fall",Q33="FTurn")),"P4",IF(AND(E34="C",OR(Q33="Jump",Q33="Jump&gt;",Q33="On1Foot",Q33="1F&gt;1F")),"C1",IF(AND(E34="C",OR(Q33="Run",Q33="BRun")),"C2",1)))))))))))</f>
        <v>1</v>
      </c>
      <c r="CO33" s="108">
        <f t="shared" ref="CO33" si="773">IF(AND(E34="A",OR(R33="Grip",R33="Conn",R33="Catch")),"A1",IF(AND(E34="A",OR(R33="Hula",R33="RetSq",R33="RetPa")),"A2",IF(AND(E34="B",OR(R33="Twirl",R33="RotF")),"B1",IF(AND(E34="B",OR(R33="Moon",R33="Mov")),"B3",IF(AND(E34="B",R33="Hold"),"B2",IF(AND(E34="P",OR(R33="Porp",R33="Spitch")),"P1",IF(AND(E34="P",OR(R33="Dive",R33="Ps1",R33="Ps1t0.5",R33="Ps1op",R33="Ps1t0,5o",R33="Ps1t1",R33="CH+")),"P2",IF(AND(E34="P",OR(R33="Spider",R33="Climb")),"P3",IF(AND(E34="P",OR(R33="Fall",R33="FTurn")),"P4",IF(AND(E34="C",OR(R33="Jump",R33="Jump&gt;",R33="On1Foot",R33="1F&gt;1F")),"C1",IF(AND(E34="C",OR(R33="Run",R33="BRun")),"C2",2)))))))))))</f>
        <v>2</v>
      </c>
      <c r="CP33" s="108" t="str">
        <f t="shared" ref="CP33" si="774">IF(AND(LEFT(F33,4)="Acro",Q33&lt;&gt;"",OR(Q33=R33,CN33=CO33)),IF(R33="C-Roll","","X"),IF(OR(AND(E34="A",Q33="Catch",R33&lt;&gt;"Dbl"),AND(E34="A",R33="Catch",Q33&lt;&gt;"Dbl")),"X",""))</f>
        <v/>
      </c>
      <c r="CQ33" s="108" t="str">
        <f t="shared" ref="CQ33" si="775">IF(E34="PA",J33,"")</f>
        <v/>
      </c>
      <c r="CR33" s="108">
        <v>15</v>
      </c>
      <c r="CT33" s="108" t="str">
        <f t="shared" ref="CT33" si="776">IF(AND($E34="A",COUNTIF($DC$19:$DD$68,DC33)&gt;1),DC33,"")</f>
        <v/>
      </c>
      <c r="CU33" s="108" t="str">
        <f t="shared" ref="CU33" si="777">IF(AND($E34="A",COUNTIF($DC$19:$DD$68,DD33)&gt;1),DD33,"")</f>
        <v/>
      </c>
      <c r="CV33" s="108" t="str">
        <f t="shared" ref="CV33" ca="1" si="778">IF(AND($E34="B",COUNTIF($J$19:$J$68,J33)&gt;1),J33,"")</f>
        <v/>
      </c>
      <c r="CW33" s="108" t="str">
        <f t="shared" ref="CW33" ca="1" si="779">IF(AND($E34="B",COUNTIF($K$19:$K$68,K33)&gt;1),K33,"")</f>
        <v/>
      </c>
      <c r="CX33" s="108" t="str">
        <f t="shared" ref="CX33" ca="1" si="780">IF(AND($E34="C",COUNTIF($J$19:$J$68,J33)&gt;1),J33,"")</f>
        <v/>
      </c>
      <c r="CY33" s="108" t="str">
        <f t="shared" ref="CY33" ca="1" si="781">IF(AND($E34="P",COUNTIF($J$19:$J$68,J33)&gt;1),J33,"")</f>
        <v/>
      </c>
      <c r="CZ33" s="108" t="str">
        <f t="shared" ref="CZ33" ca="1" si="782">IF(AND($E34="P",COUNTIF($K$19:$K$68,K33)&gt;1),K33,"")</f>
        <v/>
      </c>
      <c r="DA33" s="108" t="str">
        <f t="shared" ref="DA33" si="783">IF(AND($E34="P",COUNTIF($DC$19:$DD$68,DC33)&gt;1),DC33,"")</f>
        <v/>
      </c>
      <c r="DB33" s="108" t="str">
        <f t="shared" ref="DB33" si="784">IF(AND($E34="P",COUNTIF($DC$19:$DD$68,DD33)&gt;1),DD33,"")</f>
        <v/>
      </c>
      <c r="DC33" s="108" t="str">
        <f t="shared" ref="DC33" si="785">IFERROR(IF(OR(E34="A",E34="P"),M33,""),"")</f>
        <v/>
      </c>
      <c r="DD33" s="108" t="str">
        <f t="shared" ref="DD33" si="786">IFERROR(IF(OR(E34="A",E34="P"),RIGHT(N33,2),""),"")</f>
        <v/>
      </c>
      <c r="DF33" s="108" t="str">
        <f t="shared" ref="DF33" si="787">IF(AND($F$8="Open Team Acrobatic",LEFT(F33,4)="Acro"),E34,"")</f>
        <v/>
      </c>
      <c r="DG33" s="108" t="str">
        <f t="shared" ref="DG33" si="788">IFERROR(IF(HLOOKUP(DF33,$DD$12:$DG$13,2,FALSE)&gt;2,"X",""),"")</f>
        <v/>
      </c>
      <c r="DI33" s="108" t="str">
        <f t="shared" ref="DI33" si="789">IF(OR(AND(F33="Hybrid - Thrust + 2 connections",DI34="T"),AND(F33="Hybrid - Free",DI34&lt;&gt;"")),"X","")</f>
        <v/>
      </c>
      <c r="DK33" s="108">
        <f t="shared" ref="DK33" si="790">IFERROR(IF(AND($E34="H",J33&lt;&gt;""),IF(OR(LEFT(J33,1)="T",LEFT(J33,1)="S",LEFT(J33,1)="A",LEFT(J33,1)="F",LEFT(J33,1)="C"),LEFT(J33,1),"R"),DK$18),"")</f>
        <v>1</v>
      </c>
      <c r="DL33" s="108">
        <f t="shared" ref="DL33" si="791">IFERROR(IF(AND($E34="H",K33&lt;&gt;""),IF(OR(LEFT(K33,1)="T",LEFT(K33,1)="S",LEFT(K33,1)="A",LEFT(K33,1)="F",LEFT(K33,1)="C"),LEFT(K33,1),"R"),DL$18),"")</f>
        <v>2</v>
      </c>
      <c r="DM33" s="108">
        <f t="shared" ref="DM33" si="792">IFERROR(IF(AND($E34="H",L33&lt;&gt;""),IF(OR(LEFT(L33,1)="T",LEFT(L33,1)="S",LEFT(L33,1)="A",LEFT(L33,1)="F",LEFT(L33,1)="C"),LEFT(L33,1),"R"),DM$18),"")</f>
        <v>3</v>
      </c>
      <c r="DN33" s="108">
        <f t="shared" ref="DN33" si="793">IFERROR(IF(AND($E34="H",M33&lt;&gt;""),IF(OR(LEFT(M33,1)="T",LEFT(M33,1)="S",LEFT(M33,1)="A",LEFT(M33,1)="F",LEFT(M33,1)="C"),LEFT(M33,1),"R"),DN$18),"")</f>
        <v>4</v>
      </c>
      <c r="DO33" s="108">
        <f t="shared" ref="DO33" si="794">IFERROR(IF(AND($E34="H",N33&lt;&gt;""),IF(OR(LEFT(N33,1)="T",LEFT(N33,1)="S",LEFT(N33,1)="A",LEFT(N33,1)="F",LEFT(N33,1)="C"),LEFT(N33,1),"R"),DO$18),"")</f>
        <v>5</v>
      </c>
      <c r="DP33" s="108">
        <f t="shared" ref="DP33" si="795">IFERROR(IF(AND($E34="H",O33&lt;&gt;""),IF(OR(LEFT(O33,1)="T",LEFT(O33,1)="S",LEFT(O33,1)="A",LEFT(O33,1)="F",LEFT(O33,1)="C"),LEFT(O33,1),"R"),DP$18),"")</f>
        <v>6</v>
      </c>
      <c r="DQ33" s="108">
        <f t="shared" ref="DQ33" si="796">IFERROR(IF(AND($E34="H",P33&lt;&gt;""),IF(OR(LEFT(P33,1)="T",LEFT(P33,1)="S",LEFT(P33,1)="A",LEFT(P33,1)="F",LEFT(P33,1)="C"),LEFT(P33,1),"R"),DQ$18),"")</f>
        <v>7</v>
      </c>
      <c r="DR33" s="108">
        <f t="shared" ref="DR33" si="797">IFERROR(IF(AND($E34="H",Q33&lt;&gt;""),IF(OR(LEFT(Q33,1)="T",LEFT(Q33,1)="S",LEFT(Q33,1)="A",LEFT(Q33,1)="F",LEFT(Q33,1)="C"),LEFT(Q33,1),"R"),DR$18),"")</f>
        <v>8</v>
      </c>
      <c r="DS33" s="108">
        <f t="shared" ref="DS33" si="798">IFERROR(IF(AND($E34="H",R33&lt;&gt;""),IF(OR(LEFT(R33,1)="T",LEFT(R33,1)="S",LEFT(R33,1)="A",LEFT(R33,1)="F",LEFT(R33,1)="C"),LEFT(R33,1),"R"),DS$18),"")</f>
        <v>9</v>
      </c>
      <c r="DT33" s="108">
        <f t="shared" ref="DT33" si="799">IFERROR(IF(AND($E34="H",S33&lt;&gt;""),IF(OR(LEFT(S33,1)="T",LEFT(S33,1)="S",LEFT(S33,1)="A",LEFT(S33,1)="F",LEFT(S33,1)="C"),LEFT(S33,1),"R"),DT$18),"")</f>
        <v>10</v>
      </c>
      <c r="DU33" s="108">
        <f t="shared" ref="DU33" si="800">IFERROR(IF(AND($E34="H",T33&lt;&gt;""),IF(OR(LEFT(T33,1)="T",LEFT(T33,1)="S",LEFT(T33,1)="A",LEFT(T33,1)="F",LEFT(T33,1)="C"),LEFT(T33,1),"R"),DU$18),"")</f>
        <v>11</v>
      </c>
      <c r="DV33" s="108">
        <f t="shared" ref="DV33" si="801">IFERROR(IF(AND($E34="H",U33&lt;&gt;""),IF(OR(LEFT(U33,1)="T",LEFT(U33,1)="S",LEFT(U33,1)="A",LEFT(U33,1)="F",LEFT(U33,1)="C"),LEFT(U33,1),"R"),DV$18),"")</f>
        <v>12</v>
      </c>
      <c r="DW33" s="108">
        <f t="shared" ref="DW33" si="802">IFERROR(IF(AND($E34="H",V33&lt;&gt;""),IF(OR(LEFT(V33,1)="T",LEFT(V33,1)="S",LEFT(V33,1)="A",LEFT(V33,1)="F",LEFT(V33,1)="C"),LEFT(V33,1),"R"),DW$18),"")</f>
        <v>13</v>
      </c>
      <c r="DX33" s="108">
        <f t="shared" ref="DX33" si="803">IFERROR(IF(AND($E34="H",W33&lt;&gt;""),IF(OR(LEFT(W33,1)="T",LEFT(W33,1)="S",LEFT(W33,1)="A",LEFT(W33,1)="F",LEFT(W33,1)="C"),LEFT(W33,1),"R"),DX$18),"")</f>
        <v>14</v>
      </c>
      <c r="DY33" s="108">
        <f t="shared" ref="DY33" si="804">IFERROR(IF(AND($E34="H",X33&lt;&gt;""),IF(OR(LEFT(X33,1)="T",LEFT(X33,1)="S",LEFT(X33,1)="A",LEFT(X33,1)="F",LEFT(X33,1)="C"),LEFT(X33,1),"R"),DY$18),"")</f>
        <v>15</v>
      </c>
      <c r="DZ33" s="108">
        <f t="shared" ref="DZ33" si="805">IFERROR(IF(AND($E34="H",Y33&lt;&gt;""),IF(OR(LEFT(Y33,1)="T",LEFT(Y33,1)="S",LEFT(Y33,1)="A",LEFT(Y33,1)="F",LEFT(Y33,1)="C"),LEFT(Y33,1),"R"),DZ$18),"")</f>
        <v>16</v>
      </c>
      <c r="EA33" s="108">
        <f t="shared" ref="EA33" si="806">IFERROR(IF(AND($E34="H",Z33&lt;&gt;""),IF(OR(LEFT(Z33,1)="T",LEFT(Z33,1)="S",LEFT(Z33,1)="A",LEFT(Z33,1)="F",LEFT(Z33,1)="C"),LEFT(Z33,1),"R"),EA$18),"")</f>
        <v>17</v>
      </c>
      <c r="EB33" s="108">
        <f t="shared" ref="EB33" si="807">IFERROR(IF(AND($E34="H",AA33&lt;&gt;""),IF(OR(LEFT(AA33,1)="T",LEFT(AA33,1)="S",LEFT(AA33,1)="A",LEFT(AA33,1)="F",LEFT(AA33,1)="C"),LEFT(AA33,1),"R"),EB$18),"")</f>
        <v>18</v>
      </c>
      <c r="EC33" s="108">
        <f t="shared" ref="EC33" si="808">IFERROR(IF(AND($E34="H",AB33&lt;&gt;""),IF(OR(LEFT(AB33,1)="T",LEFT(AB33,1)="S",LEFT(AB33,1)="A",LEFT(AB33,1)="F",LEFT(AB33,1)="C"),LEFT(AB33,1),"R"),EC$18),"")</f>
        <v>19</v>
      </c>
      <c r="ED33" s="108">
        <f t="shared" ref="ED33" si="809">IFERROR(IF(AND($E34="H",AC33&lt;&gt;""),IF(OR(LEFT(AC33,1)="T",LEFT(AC33,1)="S",LEFT(AC33,1)="A",LEFT(AC33,1)="F",LEFT(AC33,1)="C"),LEFT(AC33,1),"R"),ED$18),"")</f>
        <v>20</v>
      </c>
      <c r="EE33" s="108"/>
      <c r="EF33" s="108"/>
      <c r="EG33" s="108">
        <f t="shared" ref="EG33:EZ33" si="810">IFERROR(IF(J33&lt;&gt;"",UPPER(J33),EG$18),EG$18)</f>
        <v>1</v>
      </c>
      <c r="EH33" s="108">
        <f t="shared" si="810"/>
        <v>2</v>
      </c>
      <c r="EI33" s="108">
        <f t="shared" si="810"/>
        <v>3</v>
      </c>
      <c r="EJ33" s="108">
        <f t="shared" si="810"/>
        <v>4</v>
      </c>
      <c r="EK33" s="108">
        <f t="shared" si="810"/>
        <v>5</v>
      </c>
      <c r="EL33" s="108">
        <f t="shared" si="810"/>
        <v>6</v>
      </c>
      <c r="EM33" s="108">
        <f t="shared" si="810"/>
        <v>7</v>
      </c>
      <c r="EN33" s="108">
        <f t="shared" si="810"/>
        <v>8</v>
      </c>
      <c r="EO33" s="108">
        <f t="shared" si="810"/>
        <v>9</v>
      </c>
      <c r="EP33" s="108">
        <f t="shared" si="810"/>
        <v>10</v>
      </c>
      <c r="EQ33" s="108">
        <f t="shared" si="810"/>
        <v>11</v>
      </c>
      <c r="ER33" s="108">
        <f t="shared" si="810"/>
        <v>12</v>
      </c>
      <c r="ES33" s="108">
        <f t="shared" si="810"/>
        <v>13</v>
      </c>
      <c r="ET33" s="108">
        <f t="shared" si="810"/>
        <v>14</v>
      </c>
      <c r="EU33" s="108">
        <f t="shared" si="810"/>
        <v>15</v>
      </c>
      <c r="EV33" s="108">
        <f t="shared" si="810"/>
        <v>16</v>
      </c>
      <c r="EW33" s="108">
        <f t="shared" si="810"/>
        <v>17</v>
      </c>
      <c r="EX33" s="108">
        <f t="shared" si="810"/>
        <v>18</v>
      </c>
      <c r="EY33" s="108">
        <f t="shared" si="810"/>
        <v>19</v>
      </c>
      <c r="EZ33" s="108">
        <f t="shared" si="810"/>
        <v>20</v>
      </c>
      <c r="FA33" s="108"/>
      <c r="FB33" s="108">
        <f t="shared" ref="FB33" si="811">COUNTIF($DK33:$ED33,FB$18)</f>
        <v>0</v>
      </c>
      <c r="FC33" s="108">
        <f t="shared" si="15"/>
        <v>0</v>
      </c>
      <c r="FD33" s="108">
        <f t="shared" si="15"/>
        <v>0</v>
      </c>
      <c r="FE33" s="108">
        <f t="shared" si="15"/>
        <v>0</v>
      </c>
      <c r="FF33" s="108">
        <f t="shared" si="15"/>
        <v>0</v>
      </c>
      <c r="FG33" s="108">
        <f t="shared" si="15"/>
        <v>0</v>
      </c>
      <c r="FH33" s="108"/>
      <c r="FI33" s="108" t="str">
        <f t="shared" ref="FI33" si="812">IF(AND($F33="Hybrid - Thrust + 2 connections",FI34=0,LEFT($J33,1)="C",LEFT($K33,1)="C",LEFT($L33,1)="C"),"X","")</f>
        <v/>
      </c>
      <c r="FJ33" s="108"/>
      <c r="FL33" s="120" t="e">
        <f>IF(OR(LEFT(#REF!,2)="PL",LEFT(#REF!,2)="PL",LEFT(#REF!,2)="PL",LEFT(#REF!,2)="PL",LEFT(#REF!,2)="PL"),IF($BS$17-BR33&gt;$FL$17,"X",""),"")</f>
        <v>#REF!</v>
      </c>
      <c r="FM33" s="120"/>
      <c r="FN33" s="111" t="str">
        <f>IF(E34=3,_xlfn.NUMBERVALUE(LEFT(J33,1)),"")</f>
        <v/>
      </c>
    </row>
    <row r="34" spans="1:170" ht="12.75" x14ac:dyDescent="0.25">
      <c r="A34" s="40"/>
      <c r="B34" s="41"/>
      <c r="C34" s="41"/>
      <c r="D34" s="41"/>
      <c r="E34" s="21" t="str">
        <f>IF(F33="Acrobatic - Pair","PA",IF(F33="Acrobatic Airborn","A",IF(F33="Acrobatic Balance","B",IF(F33="Acrobatic Combined","C",IF(F33="Acrobatic Platform","P",IF(F33="Technical Required Element",3,IF(LEFT(F33,4)="Hybr","H","")))))))</f>
        <v/>
      </c>
      <c r="F34" s="21" t="str">
        <f>IF(AND(F33="Hybrid - Thrust + 2 connections",BU33="X"),"Hybrid - Thrust",IF(OR(E34="A",E34="B",E34="C",E34="P"),"Acrobatic",""))</f>
        <v/>
      </c>
      <c r="G34" s="43"/>
      <c r="H34" s="222" t="str">
        <f t="shared" ref="H34" si="813">IF(E34="PA",IF(OR(LEFT(J33,1)="L",LEFT(J33,1)="S"),"A-Pair-Lift",IF(OR(LEFT(J33,1)="W",LEFT(J33,1)="T"),"A-Pair-Throw",IF(LEFT(J33,1)="J","A-Pair-Jump","A-Pair"))),IF(OR(E34="A",E34="B",E34="C",E34="P"),CONCATENATE("Acro-",E34),""))</f>
        <v/>
      </c>
      <c r="I34" s="216" t="e">
        <f t="shared" ref="I34" si="814">IF(OR(F33="Hybrid - min 4 swimmers (no DD)",LEFT(F33,5)="Trans"),0,INDEX($BV$3:$BV$9,MATCH(E34,$BU$3:$BU$9,0)))</f>
        <v>#N/A</v>
      </c>
      <c r="J34" s="210">
        <f t="shared" ref="J34" ca="1" si="815">IFERROR(IF($H33="No DD",0,IF(OR(ISBLANK(J33),J33="N/A"),0,INDEX(INDIRECT(AV34),MATCH(J33,INDIRECT(AV33),0)))),0)</f>
        <v>0</v>
      </c>
      <c r="K34" s="210">
        <f t="shared" ref="K34" ca="1" si="816">IFERROR(IF($H33="No DD",0,IF(OR(ISBLANK(K33),K33="N/A"),0,INDEX(INDIRECT(AW34),MATCH(K33,INDIRECT(AW33),0)))),0)</f>
        <v>0</v>
      </c>
      <c r="L34" s="210">
        <f t="shared" ref="L34" ca="1" si="817">IFERROR(IF($H33="No DD",0,IF(OR(ISBLANK(L33),L33="N/A"),0,INDEX(INDIRECT(AX34),MATCH(L33,INDIRECT(AX33),0)))),0)</f>
        <v>0</v>
      </c>
      <c r="M34" s="210">
        <f t="shared" ref="M34" ca="1" si="818">IFERROR(IF($H33="No DD",0,IF(OR(ISBLANK(M33),M33="N/A"),0,INDEX(INDIRECT(AY34),MATCH(M33,INDIRECT(AY33),0)))),0)</f>
        <v>0</v>
      </c>
      <c r="N34" s="210">
        <f t="shared" ref="N34" ca="1" si="819">IFERROR(IF($H33="No DD",0,IF(OR(ISBLANK(N33),N33="N/A"),0,INDEX(INDIRECT(AZ34),MATCH(N33,INDIRECT(AZ33),0)))),0)</f>
        <v>0</v>
      </c>
      <c r="O34" s="210">
        <f t="shared" ref="O34" ca="1" si="820">IFERROR(IF($H33="No DD",0,IF(OR(ISBLANK(O33),O33="N/A"),0,INDEX(INDIRECT(BA34),MATCH(O33,INDIRECT(BA33),0)))),0)</f>
        <v>0</v>
      </c>
      <c r="P34" s="210">
        <f t="shared" ref="P34" ca="1" si="821">IFERROR(IF($H33="No DD",0,IF(OR(ISBLANK(P33),P33="N/A"),0,INDEX(INDIRECT(BB34),MATCH(P33,INDIRECT(BB33),0)))),0)</f>
        <v>0</v>
      </c>
      <c r="Q34" s="210">
        <f t="shared" ref="Q34" ca="1" si="822">IFERROR(IF($H33="No DD",0,IF(OR(ISBLANK(Q33),Q33="N/A"),0,INDEX(INDIRECT(BC34),MATCH(Q33,INDIRECT(BC33),0)))),0)</f>
        <v>0</v>
      </c>
      <c r="R34" s="210">
        <f t="shared" ref="R34" ca="1" si="823">IFERROR(IF($H33="No DD",0,IF(OR(ISBLANK(R33),R33="N/A"),0,INDEX(INDIRECT(BD34),MATCH(R33,INDIRECT(BD33),0)))),0)</f>
        <v>0</v>
      </c>
      <c r="S34" s="210">
        <f t="shared" ref="S34" ca="1" si="824">IFERROR(IF($H33="No DD",0,IF(OR(ISBLANK(S33),S33="N/A"),0,INDEX(INDIRECT(BE34),MATCH(S33,INDIRECT(BE33),0)))),0)</f>
        <v>0</v>
      </c>
      <c r="T34" s="210">
        <f t="shared" ref="T34" ca="1" si="825">IFERROR(IF($H33="No DD",0,IF(OR(ISBLANK(T33),T33="N/A"),0,INDEX(INDIRECT(BF34),MATCH(T33,INDIRECT(BF33),0)))),0)</f>
        <v>0</v>
      </c>
      <c r="U34" s="210">
        <f t="shared" ref="U34" ca="1" si="826">IFERROR(IF($H33="No DD",0,IF(OR(ISBLANK(U33),U33="N/A"),0,INDEX(INDIRECT(BG34),MATCH(U33,INDIRECT(BG33),0)))),0)</f>
        <v>0</v>
      </c>
      <c r="V34" s="210">
        <f t="shared" ref="V34" ca="1" si="827">IFERROR(IF($H33="No DD",0,IF(OR(ISBLANK(V33),V33="N/A"),0,INDEX(INDIRECT(BH34),MATCH(V33,INDIRECT(BH33),0)))),0)</f>
        <v>0</v>
      </c>
      <c r="W34" s="210">
        <f t="shared" ref="W34" ca="1" si="828">IFERROR(IF($H33="No DD",0,IF(OR(ISBLANK(W33),W33="N/A"),0,INDEX(INDIRECT(BI34),MATCH(W33,INDIRECT(BI33),0)))),0)</f>
        <v>0</v>
      </c>
      <c r="X34" s="210">
        <f t="shared" ref="X34" ca="1" si="829">IFERROR(IF($H33="No DD",0,IF(OR(ISBLANK(X33),X33="N/A"),0,INDEX(INDIRECT(BJ34),MATCH(X33,INDIRECT(BJ33),0)))),0)</f>
        <v>0</v>
      </c>
      <c r="Y34" s="210">
        <f t="shared" ref="Y34" ca="1" si="830">IFERROR(IF($H33="No DD",0,IF(OR(ISBLANK(Y33),Y33="N/A"),0,INDEX(INDIRECT(BK34),MATCH(Y33,INDIRECT(BK33),0)))),0)</f>
        <v>0</v>
      </c>
      <c r="Z34" s="210">
        <f t="shared" ref="Z34" ca="1" si="831">IFERROR(IF($H33="No DD",0,IF(OR(ISBLANK(Z33),Z33="N/A"),0,INDEX(INDIRECT(BL34),MATCH(Z33,INDIRECT(BL33),0)))),0)</f>
        <v>0</v>
      </c>
      <c r="AA34" s="210">
        <f t="shared" ref="AA34" ca="1" si="832">IFERROR(IF($H33="No DD",0,IF(OR(ISBLANK(AA33),AA33="N/A"),0,INDEX(INDIRECT(BM34),MATCH(AA33,INDIRECT(BM33),0)))),0)</f>
        <v>0</v>
      </c>
      <c r="AB34" s="210">
        <f t="shared" ref="AB34" ca="1" si="833">IFERROR(IF($H33="No DD",0,IF(OR(ISBLANK(AB33),AB33="N/A"),0,INDEX(INDIRECT(BN34),MATCH(AB33,INDIRECT(BN33),0)))),0)</f>
        <v>0</v>
      </c>
      <c r="AC34" s="210">
        <f t="shared" ref="AC34" ca="1" si="834">IFERROR(IF($H33="No DD",0,IF(OR(ISBLANK(AC33),AC33="N/A"),0,INDEX(INDIRECT(BO34),MATCH(AC33,INDIRECT(BO33),0)))),0)</f>
        <v>0</v>
      </c>
      <c r="AD34" s="211" t="str">
        <f>IFERROR(IF(E34="H",INDEX(HybridBonus_Value,MATCH(AD33,HybridBonus_Code,0)),""),"")</f>
        <v/>
      </c>
      <c r="AE34" s="209" t="str">
        <f t="shared" ref="AE34" si="835">IFERROR(IF(J33&lt;&gt;"",SUM(I34:AD34),""),"")</f>
        <v/>
      </c>
      <c r="AF34" s="76"/>
      <c r="AG34" s="76"/>
      <c r="AH34" s="121"/>
      <c r="AI34" s="121"/>
      <c r="AJ34" s="121"/>
      <c r="AK34" s="121"/>
      <c r="AL34" s="121"/>
      <c r="AM34" s="121"/>
      <c r="AN34" s="121"/>
      <c r="AO34" s="121"/>
      <c r="AP34" s="121"/>
      <c r="AQ34" s="121"/>
      <c r="AR34" s="121"/>
      <c r="AS34" s="121"/>
      <c r="AT34" s="110"/>
      <c r="AU34" s="121"/>
      <c r="AV34" s="111" t="str">
        <f t="shared" ref="AV34" si="836">IF($E34="H","HybridDD_Value",IF($E34=3,"TreDD_Value",IF($E34="PA","AcroPair_Value",IF(LEFT($F33,4)="Acro",CONCATENATE(AV$16,$E34,"_Value"),""))))</f>
        <v/>
      </c>
      <c r="AW34" s="111" t="str">
        <f t="shared" ref="AW34:AX34" si="837">IF($E34="H","HybridDD_Value",IF($E34=3,"",IF(LEFT($F33,4)="Acro",CONCATENATE(AW$16,$E34,"_Value"),IF($E34="PA","",""))))</f>
        <v/>
      </c>
      <c r="AX34" s="111" t="str">
        <f t="shared" si="837"/>
        <v/>
      </c>
      <c r="AY34" s="111" t="str">
        <f t="shared" ref="AY34:BD34" si="838">IF($E34="H","HybridDD_Value",IF($E34=3,"",IF(LEFT($F33,4)="Acro",CONCATENATE(AY$16,$E34,"_Value"),IF($E34="PA","",""))))</f>
        <v/>
      </c>
      <c r="AZ34" s="111" t="str">
        <f t="shared" si="838"/>
        <v/>
      </c>
      <c r="BA34" s="111" t="str">
        <f t="shared" si="838"/>
        <v/>
      </c>
      <c r="BB34" s="111" t="str">
        <f t="shared" si="838"/>
        <v/>
      </c>
      <c r="BC34" s="111" t="str">
        <f t="shared" si="838"/>
        <v/>
      </c>
      <c r="BD34" s="111" t="str">
        <f t="shared" si="838"/>
        <v/>
      </c>
      <c r="BE34" s="110" t="str">
        <f t="shared" ref="BE34" si="839">IF($E34="H","HybridDD_Value","Data!$BI$1:$BI$5")</f>
        <v>Data!$BI$1:$BI$5</v>
      </c>
      <c r="BF34" s="110" t="str">
        <f t="shared" si="522"/>
        <v>Data!$BI$1:$BI$5</v>
      </c>
      <c r="BG34" s="110" t="str">
        <f t="shared" si="522"/>
        <v>Data!$BI$1:$BI$5</v>
      </c>
      <c r="BH34" s="110" t="str">
        <f t="shared" si="522"/>
        <v>Data!$BI$1:$BI$5</v>
      </c>
      <c r="BI34" s="110" t="str">
        <f t="shared" si="522"/>
        <v>Data!$BI$1:$BI$5</v>
      </c>
      <c r="BJ34" s="110" t="str">
        <f t="shared" si="522"/>
        <v>Data!$BI$1:$BI$5</v>
      </c>
      <c r="BK34" s="110" t="str">
        <f t="shared" si="522"/>
        <v>Data!$BI$1:$BI$5</v>
      </c>
      <c r="BL34" s="110" t="str">
        <f t="shared" si="522"/>
        <v>Data!$BI$1:$BI$5</v>
      </c>
      <c r="BM34" s="110" t="str">
        <f t="shared" si="522"/>
        <v>Data!$BI$1:$BI$5</v>
      </c>
      <c r="BN34" s="110" t="str">
        <f t="shared" si="522"/>
        <v>Data!$BI$1:$BI$5</v>
      </c>
      <c r="BO34" s="110" t="str">
        <f t="shared" si="522"/>
        <v>Data!$BI$1:$BI$5</v>
      </c>
      <c r="BP34" s="121"/>
      <c r="BQ34" s="121"/>
      <c r="BR34" s="122" t="str">
        <f>IFERROR(IF(AND($BS$6="T",$BS$8="T",LEFT(F33,4)="Acro",AE34&gt;3),"X",IF($N$7="X",IF(AND(E34="C",AE34&gt;$CA$6),"X",IF(AND(E34="A",AE34&gt;$CA$4),"X",IF(AND(E34="B",AE34&gt;$CA$5),"X",IF(AND(E34="P",AE34&gt;$CA$7),"X","")))),"")),"")</f>
        <v/>
      </c>
      <c r="BS34" s="114"/>
      <c r="BU34" s="108"/>
      <c r="CA34" s="111"/>
      <c r="CB34" s="111"/>
      <c r="CC34" s="111"/>
      <c r="CG34" s="108" t="str">
        <f t="shared" si="9"/>
        <v/>
      </c>
      <c r="CH34" s="108" t="str">
        <f t="shared" si="10"/>
        <v/>
      </c>
      <c r="CI34" s="108" t="str">
        <f t="shared" si="11"/>
        <v/>
      </c>
      <c r="CJ34" s="108" t="str">
        <f t="shared" si="12"/>
        <v/>
      </c>
      <c r="CR34" s="108">
        <v>16</v>
      </c>
      <c r="DI34" s="108" t="str" cm="1">
        <f t="array" ref="DI34">IFERROR(INDEX(DK34:ED34,MATCH(TRUE,INDEX((DK34:ED34&lt;&gt;""),),0)),"")</f>
        <v/>
      </c>
      <c r="DK34" s="108" t="str">
        <f t="shared" ref="DK34" si="840">IF(F33="Hybrid - Thrust + 2 connections",IF(COUNTIF($DK33:$ED33,DK33)&gt;1,DK33,""),IF(COUNTIF($DK33:$ED33,DK33)&gt;5,DK33,""))</f>
        <v/>
      </c>
      <c r="DL34" s="108" t="str">
        <f t="shared" ref="DL34" si="841">IF(G33="Hybrid - Thrust + 2 connections",IF(COUNTIF($DK33:$ED33,DL33)&gt;1,DL33,""),IF(COUNTIF($DK33:$ED33,DL33)&gt;5,DL33,""))</f>
        <v/>
      </c>
      <c r="DM34" s="108" t="str">
        <f t="shared" ref="DM34" si="842">IF(H33="Hybrid - Thrust + 2 connections",IF(COUNTIF($DK33:$ED33,DM33)&gt;1,DM33,""),IF(COUNTIF($DK33:$ED33,DM33)&gt;5,DM33,""))</f>
        <v/>
      </c>
      <c r="DN34" s="108" t="str">
        <f t="shared" ref="DN34" si="843">IF(I33="Hybrid - Thrust + 2 connections",IF(COUNTIF($DK33:$ED33,DN33)&gt;1,DN33,""),IF(COUNTIF($DK33:$ED33,DN33)&gt;5,DN33,""))</f>
        <v/>
      </c>
      <c r="DO34" s="108" t="str">
        <f t="shared" ref="DO34" si="844">IF(J33="Hybrid - Thrust + 2 connections",IF(COUNTIF($DK33:$ED33,DO33)&gt;1,DO33,""),IF(COUNTIF($DK33:$ED33,DO33)&gt;5,DO33,""))</f>
        <v/>
      </c>
      <c r="DP34" s="108" t="str">
        <f t="shared" ref="DP34" si="845">IF(K33="Hybrid - Thrust + 2 connections",IF(COUNTIF($DK33:$ED33,DP33)&gt;1,DP33,""),IF(COUNTIF($DK33:$ED33,DP33)&gt;5,DP33,""))</f>
        <v/>
      </c>
      <c r="DQ34" s="108" t="str">
        <f t="shared" ref="DQ34" si="846">IF(L33="Hybrid - Thrust + 2 connections",IF(COUNTIF($DK33:$ED33,DQ33)&gt;1,DQ33,""),IF(COUNTIF($DK33:$ED33,DQ33)&gt;5,DQ33,""))</f>
        <v/>
      </c>
      <c r="DR34" s="108" t="str">
        <f t="shared" ref="DR34" si="847">IF(M33="Hybrid - Thrust + 2 connections",IF(COUNTIF($DK33:$ED33,DR33)&gt;1,DR33,""),IF(COUNTIF($DK33:$ED33,DR33)&gt;5,DR33,""))</f>
        <v/>
      </c>
      <c r="DS34" s="108" t="str">
        <f t="shared" ref="DS34" si="848">IF(N33="Hybrid - Thrust + 2 connections",IF(COUNTIF($DK33:$ED33,DS33)&gt;1,DS33,""),IF(COUNTIF($DK33:$ED33,DS33)&gt;5,DS33,""))</f>
        <v/>
      </c>
      <c r="DT34" s="108" t="str">
        <f t="shared" ref="DT34" si="849">IF(O33="Hybrid - Thrust + 2 connections",IF(COUNTIF($DK33:$ED33,DT33)&gt;1,DT33,""),IF(COUNTIF($DK33:$ED33,DT33)&gt;5,DT33,""))</f>
        <v/>
      </c>
      <c r="DU34" s="108" t="str">
        <f t="shared" ref="DU34" si="850">IF(P33="Hybrid - Thrust + 2 connections",IF(COUNTIF($DK33:$ED33,DU33)&gt;1,DU33,""),IF(COUNTIF($DK33:$ED33,DU33)&gt;5,DU33,""))</f>
        <v/>
      </c>
      <c r="DV34" s="108" t="str">
        <f t="shared" ref="DV34" si="851">IF(Q33="Hybrid - Thrust + 2 connections",IF(COUNTIF($DK33:$ED33,DV33)&gt;1,DV33,""),IF(COUNTIF($DK33:$ED33,DV33)&gt;5,DV33,""))</f>
        <v/>
      </c>
      <c r="DW34" s="108" t="str">
        <f t="shared" ref="DW34" si="852">IF(R33="Hybrid - Thrust + 2 connections",IF(COUNTIF($DK33:$ED33,DW33)&gt;1,DW33,""),IF(COUNTIF($DK33:$ED33,DW33)&gt;5,DW33,""))</f>
        <v/>
      </c>
      <c r="DX34" s="108" t="str">
        <f t="shared" ref="DX34" si="853">IF(S33="Hybrid - Thrust + 2 connections",IF(COUNTIF($DK33:$ED33,DX33)&gt;1,DX33,""),IF(COUNTIF($DK33:$ED33,DX33)&gt;5,DX33,""))</f>
        <v/>
      </c>
      <c r="DY34" s="108" t="str">
        <f t="shared" ref="DY34" si="854">IF(T33="Hybrid - Thrust + 2 connections",IF(COUNTIF($DK33:$ED33,DY33)&gt;1,DY33,""),IF(COUNTIF($DK33:$ED33,DY33)&gt;5,DY33,""))</f>
        <v/>
      </c>
      <c r="DZ34" s="108" t="str">
        <f t="shared" ref="DZ34" si="855">IF(U33="Hybrid - Thrust + 2 connections",IF(COUNTIF($DK33:$ED33,DZ33)&gt;1,DZ33,""),IF(COUNTIF($DK33:$ED33,DZ33)&gt;5,DZ33,""))</f>
        <v/>
      </c>
      <c r="EA34" s="108" t="str">
        <f t="shared" ref="EA34" si="856">IF(V33="Hybrid - Thrust + 2 connections",IF(COUNTIF($DK33:$ED33,EA33)&gt;1,EA33,""),IF(COUNTIF($DK33:$ED33,EA33)&gt;5,EA33,""))</f>
        <v/>
      </c>
      <c r="EB34" s="108" t="str">
        <f t="shared" ref="EB34" si="857">IF(W33="Hybrid - Thrust + 2 connections",IF(COUNTIF($DK33:$ED33,EB33)&gt;1,EB33,""),IF(COUNTIF($DK33:$ED33,EB33)&gt;5,EB33,""))</f>
        <v/>
      </c>
      <c r="EC34" s="108" t="str">
        <f t="shared" ref="EC34" si="858">IF(X33="Hybrid - Thrust + 2 connections",IF(COUNTIF($DK33:$ED33,EC33)&gt;1,EC33,""),IF(COUNTIF($DK33:$ED33,EC33)&gt;5,EC33,""))</f>
        <v/>
      </c>
      <c r="ED34" s="108" t="str">
        <f t="shared" ref="ED34" si="859">IF(Y33="Hybrid - Thrust + 2 connections",IF(COUNTIF($DK33:$ED33,ED33)&gt;1,ED33,""),IF(COUNTIF($DK33:$ED33,ED33)&gt;5,ED33,""))</f>
        <v/>
      </c>
      <c r="EE34" s="108"/>
      <c r="EF34" s="108" t="str" cm="1">
        <f t="array" ref="EF34">IFERROR(INDEX(EG34:EZ34,MATCH(TRUE,INDEX((EG34:EZ34&lt;&gt;""),),0)),"")</f>
        <v/>
      </c>
      <c r="EG34" s="108" t="str">
        <f t="shared" ref="EG34" si="860">IF(COUNTIF($EG33:$EZ33,EG33)&gt;3,EG33,"")</f>
        <v/>
      </c>
      <c r="EH34" s="108" t="str">
        <f t="shared" ref="EH34" si="861">IF(COUNTIF($EG33:$EZ33,EH33)&gt;3,EH33,"")</f>
        <v/>
      </c>
      <c r="EI34" s="108" t="str">
        <f t="shared" ref="EI34" si="862">IF(COUNTIF($EG33:$EZ33,EI33)&gt;3,EI33,"")</f>
        <v/>
      </c>
      <c r="EJ34" s="108" t="str">
        <f t="shared" ref="EJ34" si="863">IF(COUNTIF($EG33:$EZ33,EJ33)&gt;3,EJ33,"")</f>
        <v/>
      </c>
      <c r="EK34" s="108" t="str">
        <f t="shared" ref="EK34" si="864">IF(COUNTIF($EG33:$EZ33,EK33)&gt;3,EK33,"")</f>
        <v/>
      </c>
      <c r="EL34" s="108" t="str">
        <f t="shared" ref="EL34" si="865">IF(COUNTIF($EG33:$EZ33,EL33)&gt;3,EL33,"")</f>
        <v/>
      </c>
      <c r="EM34" s="108" t="str">
        <f t="shared" ref="EM34" si="866">IF(COUNTIF($EG33:$EZ33,EM33)&gt;3,EM33,"")</f>
        <v/>
      </c>
      <c r="EN34" s="108" t="str">
        <f t="shared" ref="EN34" si="867">IF(COUNTIF($EG33:$EZ33,EN33)&gt;3,EN33,"")</f>
        <v/>
      </c>
      <c r="EO34" s="108" t="str">
        <f t="shared" ref="EO34" si="868">IF(COUNTIF($EG33:$EZ33,EO33)&gt;3,EO33,"")</f>
        <v/>
      </c>
      <c r="EP34" s="108" t="str">
        <f t="shared" ref="EP34" si="869">IF(COUNTIF($EG33:$EZ33,EP33)&gt;3,EP33,"")</f>
        <v/>
      </c>
      <c r="EQ34" s="108" t="str">
        <f t="shared" ref="EQ34" si="870">IF(COUNTIF($EG33:$EZ33,EQ33)&gt;3,EQ33,"")</f>
        <v/>
      </c>
      <c r="ER34" s="108" t="str">
        <f t="shared" ref="ER34" si="871">IF(COUNTIF($EG33:$EZ33,ER33)&gt;3,ER33,"")</f>
        <v/>
      </c>
      <c r="ES34" s="108" t="str">
        <f t="shared" ref="ES34" si="872">IF(COUNTIF($EG33:$EZ33,ES33)&gt;3,ES33,"")</f>
        <v/>
      </c>
      <c r="ET34" s="108" t="str">
        <f t="shared" ref="ET34" si="873">IF(COUNTIF($EG33:$EZ33,ET33)&gt;3,ET33,"")</f>
        <v/>
      </c>
      <c r="EU34" s="108" t="str">
        <f t="shared" ref="EU34" si="874">IF(COUNTIF($EG33:$EZ33,EU33)&gt;3,EU33,"")</f>
        <v/>
      </c>
      <c r="EV34" s="108" t="str">
        <f t="shared" ref="EV34" si="875">IF(COUNTIF($EG33:$EZ33,EV33)&gt;3,EV33,"")</f>
        <v/>
      </c>
      <c r="EW34" s="108" t="str">
        <f t="shared" ref="EW34" si="876">IF(COUNTIF($EG33:$EZ33,EW33)&gt;3,EW33,"")</f>
        <v/>
      </c>
      <c r="EX34" s="108" t="str">
        <f t="shared" ref="EX34" si="877">IF(COUNTIF($EG33:$EZ33,EX33)&gt;3,EX33,"")</f>
        <v/>
      </c>
      <c r="EY34" s="108" t="str">
        <f t="shared" ref="EY34" si="878">IF(COUNTIF($EG33:$EZ33,EY33)&gt;3,EY33,"")</f>
        <v/>
      </c>
      <c r="EZ34" s="108" t="str">
        <f t="shared" ref="EZ34" si="879">IF(COUNTIF($EG33:$EZ33,EZ33)&gt;3,EZ33,"")</f>
        <v/>
      </c>
      <c r="FA34" s="108"/>
      <c r="FB34" s="108"/>
      <c r="FC34" s="108"/>
      <c r="FD34" s="108"/>
      <c r="FE34" s="108"/>
      <c r="FF34" s="108"/>
      <c r="FG34" s="108"/>
      <c r="FH34" s="108"/>
      <c r="FI34" s="108" t="str">
        <f t="shared" ref="FI34" si="880">IF($F33="Hybrid - Thrust + 2 connections",COUNTBLANK(J33:L33),"")</f>
        <v/>
      </c>
      <c r="FJ34" s="108"/>
      <c r="FN34" s="111"/>
    </row>
    <row r="35" spans="1:170" ht="12.75" x14ac:dyDescent="0.25">
      <c r="A35" s="40" t="str">
        <f>IF(AND(E33="",A33&lt;&gt;""),IF(BS33=$BS$18,"",IF(C33&lt;&gt;"",IF(D33=59,MINUTE(BS33)+1,MINUTE(BS33)),"")),"")</f>
        <v/>
      </c>
      <c r="B35" s="41" t="str">
        <f>IF(AND(E33="",B33&lt;&gt;""),IF(BS33=$BS$18,"",IF(C33&lt;&gt;"",IF(D33=59,0,SECOND(BS33)+1),"")),"")</f>
        <v/>
      </c>
      <c r="C35" s="51"/>
      <c r="D35" s="51"/>
      <c r="E35" s="9"/>
      <c r="F35" s="52"/>
      <c r="G35" s="43" t="str">
        <f>IF(F35&lt;&gt;"",IF(OR(F35="Transition",F35="Transition - Surface Connection"),0,MAX($G$19:G34)+1),"")</f>
        <v/>
      </c>
      <c r="H35" s="57" t="str">
        <f t="shared" ref="H35" si="881">IFERROR(IF(E36="3","",IF(OR(F35="Hybrid - min 4 swimmers (no DD)",LEFT(F35,5)="Trans"),"No DD",CONCATENATE("BM = ",I36))),"")</f>
        <v/>
      </c>
      <c r="I35" s="58"/>
      <c r="J35" s="130"/>
      <c r="K35" s="137"/>
      <c r="L35" s="137"/>
      <c r="M35" s="137"/>
      <c r="N35" s="137"/>
      <c r="O35" s="137"/>
      <c r="P35" s="137"/>
      <c r="Q35" s="137"/>
      <c r="R35" s="137"/>
      <c r="S35" s="137"/>
      <c r="T35" s="137"/>
      <c r="U35" s="137"/>
      <c r="V35" s="137"/>
      <c r="W35" s="137"/>
      <c r="X35" s="137"/>
      <c r="Y35" s="137"/>
      <c r="Z35" s="137"/>
      <c r="AA35" s="137"/>
      <c r="AB35" s="137"/>
      <c r="AC35" s="137"/>
      <c r="AD35" s="191"/>
      <c r="AE35" s="44"/>
      <c r="AF35" s="75"/>
      <c r="AG35" s="75"/>
      <c r="AH35" s="110"/>
      <c r="AI35" s="110"/>
      <c r="AJ35" s="110"/>
      <c r="AK35" s="110"/>
      <c r="AL35" s="110"/>
      <c r="AM35" s="110"/>
      <c r="AN35" s="110"/>
      <c r="AO35" s="110"/>
      <c r="AP35" s="110"/>
      <c r="AQ35" s="110"/>
      <c r="AR35" s="110"/>
      <c r="AS35" s="110"/>
      <c r="AT35" s="110" t="str">
        <f>IFERROR(IF(F35&lt;&gt;"",INDEX(Parts_Active,MATCH(F35,Parts_Active,0)),""),"No")</f>
        <v/>
      </c>
      <c r="AU35" s="110"/>
      <c r="AV35" s="110" t="str">
        <f t="shared" ref="AV35" si="882">IF($E36="H",IF($F35="Hybrid - Thrust + 2 connections","Hybrid_Mix_Req","HybridDD_Code"),IF($E36=3,"TreDD_Code",IF($E36="PA","AcroPair_Code",IF(LEFT($F35,4)="Acro",CONCATENATE(AV$16,$E36,"_Code"),"Data!$BI$1:$BI$5"))))</f>
        <v>Data!$BI$1:$BI$5</v>
      </c>
      <c r="AW35" s="110" t="str">
        <f t="shared" ref="AW35" si="883">IF($E36="H",IF($F35="Hybrid - Thrust + 2 connections","Hybrid_Mix_Req","HybridDD_Code"),IF($E36=3,"TreDD_Code",IF($E36="PA","AcroPair_Code",IF(LEFT($F35,4)="Acro",CONCATENATE(AW$16,$E36,"_Code"),"Data!$BI$1:$BI$5"))))</f>
        <v>Data!$BI$1:$BI$5</v>
      </c>
      <c r="AX35" s="110" t="str">
        <f t="shared" ref="AX35" si="884">IF($E36="H",IF($F35="Hybrid - Thrust + 2 connections","Hybrid_Mix_Req","HybridDD_Code"),IF($E36=3,"TreDD_Code",IF($E36="PA","AcroPair_Code",IF(LEFT($F35,4)="Acro",CONCATENATE(AX$16,$E36,"_Code"),"Data!$BI$1:$BI$5"))))</f>
        <v>Data!$BI$1:$BI$5</v>
      </c>
      <c r="AY35" s="110" t="str">
        <f t="shared" ref="AY35" si="885">IF($E36="H",IF($F35="Hybrid - Thrust + 2 connections","Data!$BI$1:$BI$5","HybridDD_Code"),IF($E36=3,"Data!$BI$1:$BI$5",IF(LEFT($F35,4)="Acro",CONCATENATE(AY$16,$E36,"_Code"),IF($E36="PA","","Data!$BI$1:$BI$5"))))</f>
        <v>Data!$BI$1:$BI$5</v>
      </c>
      <c r="AZ35" s="110" t="str">
        <f t="shared" ref="AZ35" si="886">IF($E36="H",IF($F35="Hybrid - Thrust + 2 connections","Data!$BI$1:$BI$5","HybridDD_Code"),IF($E36=3,"Data!$BI$1:$BI$5",IF(LEFT($F35,4)="Acro",CONCATENATE(AZ$16,$E36,"_Code"),IF($E36="PA","","Data!$BI$1:$BI$5"))))</f>
        <v>Data!$BI$1:$BI$5</v>
      </c>
      <c r="BA35" s="110" t="str">
        <f t="shared" ref="BA35" si="887">IF($E36="H",IF($F35="Hybrid - Thrust + 2 connections","Data!$BI$1:$BI$5","HybridDD_Code"),IF($E36=3,"Data!$BI$1:$BI$5",IF(LEFT($F35,4)="Acro",CONCATENATE(BA$16,$E36,"_Code"),IF($E36="PA","","Data!$BI$1:$BI$5"))))</f>
        <v>Data!$BI$1:$BI$5</v>
      </c>
      <c r="BB35" s="110" t="str">
        <f t="shared" ref="BB35" si="888">IF($E36="H",IF($F35="Hybrid - Thrust + 2 connections","Data!$BI$1:$BI$5","HybridDD_Code"),IF($E36=3,"Data!$BI$1:$BI$5",IF(LEFT($F35,4)="Acro",CONCATENATE(BB$16,$E36,"_Code"),IF($E36="PA","","Data!$BI$1:$BI$5"))))</f>
        <v>Data!$BI$1:$BI$5</v>
      </c>
      <c r="BC35" s="110" t="str">
        <f t="shared" ref="BC35" si="889">IF($E36="H",IF($F35="Hybrid - Thrust + 2 connections","Data!$BI$1:$BI$5","HybridDD_Code"),IF($E36=3,"Data!$BI$1:$BI$5",IF(LEFT($F35,4)="Acro",CONCATENATE(BC$16,$E36,"_Code"),IF($E36="PA","","Data!$BI$1:$BI$5"))))</f>
        <v>Data!$BI$1:$BI$5</v>
      </c>
      <c r="BD35" s="110" t="str">
        <f t="shared" ref="BD35" si="890">IF($E36="H",IF($F35="Hybrid - Thrust + 2 connections","Data!$BI$1:$BI$5","HybridDD_Code"),IF($E36=3,"Data!$BI$1:$BI$5",IF(LEFT($F35,4)="Acro",CONCATENATE(BD$16,$E36,"_Code"),IF($E36="PA","","Data!$BI$1:$BI$5"))))</f>
        <v>Data!$BI$1:$BI$5</v>
      </c>
      <c r="BE35" s="110" t="str">
        <f t="shared" ref="BE35" si="891">IF($E36="H",IF($F35="Hybrid - Thrust + 2 connections","Data!$BI$1:$BI$5","HybridDD_Code"),"Data!$BI$1:$BI$5")</f>
        <v>Data!$BI$1:$BI$5</v>
      </c>
      <c r="BF35" s="110" t="str">
        <f t="shared" si="522"/>
        <v>Data!$BI$1:$BI$5</v>
      </c>
      <c r="BG35" s="110" t="str">
        <f t="shared" si="522"/>
        <v>Data!$BI$1:$BI$5</v>
      </c>
      <c r="BH35" s="110" t="str">
        <f t="shared" si="522"/>
        <v>Data!$BI$1:$BI$5</v>
      </c>
      <c r="BI35" s="110" t="str">
        <f t="shared" si="522"/>
        <v>Data!$BI$1:$BI$5</v>
      </c>
      <c r="BJ35" s="110" t="str">
        <f t="shared" si="522"/>
        <v>Data!$BI$1:$BI$5</v>
      </c>
      <c r="BK35" s="110" t="str">
        <f t="shared" si="522"/>
        <v>Data!$BI$1:$BI$5</v>
      </c>
      <c r="BL35" s="110" t="str">
        <f t="shared" si="522"/>
        <v>Data!$BI$1:$BI$5</v>
      </c>
      <c r="BM35" s="110" t="str">
        <f t="shared" si="522"/>
        <v>Data!$BI$1:$BI$5</v>
      </c>
      <c r="BN35" s="110" t="str">
        <f t="shared" si="522"/>
        <v>Data!$BI$1:$BI$5</v>
      </c>
      <c r="BO35" s="110" t="str">
        <f t="shared" si="522"/>
        <v>Data!$BI$1:$BI$5</v>
      </c>
      <c r="BP35" s="110"/>
      <c r="BQ35" s="110"/>
      <c r="BR35" s="113" t="str">
        <f t="shared" ref="BR35" si="892">IFERROR(TIME(0,A35,B35),"")</f>
        <v/>
      </c>
      <c r="BS35" s="114">
        <f>IFERROR(TIME(0,C35,D35),"")</f>
        <v>0</v>
      </c>
      <c r="BT35" s="114" t="str">
        <f t="shared" ref="BT35" si="893">IF(BS35&gt;$D$12,"X","")</f>
        <v/>
      </c>
      <c r="BU35" s="108" t="str">
        <f>IF(AND(F35="Hybrid - Thrust + 2 connections",OR(LEFT(J35,1)="T",LEFT(K35,1)="T",LEFT(L35,1)="T",LEFT(NG35,1)="T",LEFT(M35,1)="T",LEFT(N35,1)="T",LEFT(O35,1)="T",LEFT(P35,1)="T",LEFT(Q35,1)="T",LEFT(R35,1)="T",LEFT(S35,1)="T",LEFT(T35,1)="T",LEFT(U35,1)="T",LEFT(V35,1)="T",LEFT(W35,1)="T",LEFT(X35,1)="T",LEFT(AA35,1)="T",LEFT(AB35,1)="T",LEFT(AC35,1)="T")),IF(OR(LEN(J35)=2,LEN(K35)=2,LEN(L35)=2,LEN(M35)=2,LEN(N35)=2,LEN(O35)=2,LEN(P35)=2,LEN(Q35)=2,LEN(R35)=2,LEN(S35)=2,LEN(T35)=2,LEN(U35)=2,LEN(V35)=2,LEN(W35)=2,LEN(X35)=2,LEN(Y35)=2,LEN(Z35)=2,LEN(AA35)=2,LEN(AB35)=2,LEN(AC35)=2),"X",""),"")</f>
        <v/>
      </c>
      <c r="BW35" s="108" t="str">
        <f>IF(LEFT(F35,4)="Acro",IF(AND(N35&lt;&gt;"",M35=RIGHT(N35,2)),"X","OK"),"")</f>
        <v/>
      </c>
      <c r="BX35" s="110" t="str">
        <f t="shared" ref="BX35:CE35" si="894">IFERROR(IF(AND(LEFT($F35,4)="Acro",INDEX(Requ_App,MATCH(AV35,Requ_Code,0))="No"),"X",""),"")</f>
        <v/>
      </c>
      <c r="BY35" s="110" t="str">
        <f t="shared" si="894"/>
        <v/>
      </c>
      <c r="BZ35" s="110" t="str">
        <f t="shared" si="894"/>
        <v/>
      </c>
      <c r="CA35" s="110" t="str">
        <f t="shared" si="894"/>
        <v/>
      </c>
      <c r="CB35" s="110" t="str">
        <f t="shared" si="894"/>
        <v/>
      </c>
      <c r="CC35" s="110" t="str">
        <f t="shared" si="894"/>
        <v/>
      </c>
      <c r="CD35" s="110" t="str">
        <f t="shared" si="894"/>
        <v/>
      </c>
      <c r="CE35" s="110" t="str">
        <f t="shared" si="894"/>
        <v/>
      </c>
      <c r="CF35" s="110" t="str">
        <f>IFERROR(IF(AND(LEFT($F35,4)="Acro",INDEX(Requ_App,MATCH(BC35,Requ_Code,0))="No"),"X",""),"")</f>
        <v/>
      </c>
      <c r="CG35" s="108" t="str">
        <f t="shared" si="9"/>
        <v/>
      </c>
      <c r="CH35" s="108" t="str">
        <f t="shared" si="10"/>
        <v/>
      </c>
      <c r="CI35" s="108" t="str">
        <f t="shared" si="11"/>
        <v/>
      </c>
      <c r="CJ35" s="108" t="str">
        <f t="shared" si="12"/>
        <v/>
      </c>
      <c r="CN35" s="108">
        <f t="shared" ref="CN35" si="895">IF(AND(E36="A",OR(Q35="Grip",Q35="Conn",Q35="Catch")),"A1",IF(AND(E36="A",OR(Q35="Hula",Q35="RetSq",Q35="RetPa")),"A2",IF(AND(E36="B",OR(Q35="Twirl",Q35="RotF")),"B1",IF(AND(E36="B",OR(Q35="Moon",Q35="Mov")),"B2",IF(AND(E36="B",Q35="Hold"),"B3",IF(AND(E36="P",OR(Q35="Porp",Q35="Spitch")),"P1",IF(AND(E36="P",OR(Q35="Dive",Q35="Ps1",Q35="Ps1t0.5",Q35="Ps1op",Q35="Ps1t0,5o",Q35="Ps1t1",Q35="CH+")),"P2",IF(AND(E36="P",OR(Q35="Spider",Q35="Climb")),"P3",IF(AND(E36="P",OR(Q35="Fall",Q35="FTurn")),"P4",IF(AND(E36="C",OR(Q35="Jump",Q35="Jump&gt;",Q35="On1Foot",Q35="1F&gt;1F")),"C1",IF(AND(E36="C",OR(Q35="Run",Q35="BRun")),"C2",1)))))))))))</f>
        <v>1</v>
      </c>
      <c r="CO35" s="108">
        <f t="shared" ref="CO35" si="896">IF(AND(E36="A",OR(R35="Grip",R35="Conn",R35="Catch")),"A1",IF(AND(E36="A",OR(R35="Hula",R35="RetSq",R35="RetPa")),"A2",IF(AND(E36="B",OR(R35="Twirl",R35="RotF")),"B1",IF(AND(E36="B",OR(R35="Moon",R35="Mov")),"B3",IF(AND(E36="B",R35="Hold"),"B2",IF(AND(E36="P",OR(R35="Porp",R35="Spitch")),"P1",IF(AND(E36="P",OR(R35="Dive",R35="Ps1",R35="Ps1t0.5",R35="Ps1op",R35="Ps1t0,5o",R35="Ps1t1",R35="CH+")),"P2",IF(AND(E36="P",OR(R35="Spider",R35="Climb")),"P3",IF(AND(E36="P",OR(R35="Fall",R35="FTurn")),"P4",IF(AND(E36="C",OR(R35="Jump",R35="Jump&gt;",R35="On1Foot",R35="1F&gt;1F")),"C1",IF(AND(E36="C",OR(R35="Run",R35="BRun")),"C2",2)))))))))))</f>
        <v>2</v>
      </c>
      <c r="CP35" s="108" t="str">
        <f t="shared" ref="CP35" si="897">IF(AND(LEFT(F35,4)="Acro",Q35&lt;&gt;"",OR(Q35=R35,CN35=CO35)),IF(R35="C-Roll","","X"),IF(OR(AND(E36="A",Q35="Catch",R35&lt;&gt;"Dbl"),AND(E36="A",R35="Catch",Q35&lt;&gt;"Dbl")),"X",""))</f>
        <v/>
      </c>
      <c r="CQ35" s="108" t="str">
        <f t="shared" ref="CQ35" si="898">IF(E36="PA",J35,"")</f>
        <v/>
      </c>
      <c r="CR35" s="108">
        <v>17</v>
      </c>
      <c r="CT35" s="108" t="str">
        <f t="shared" ref="CT35" si="899">IF(AND($E36="A",COUNTIF($DC$19:$DD$68,DC35)&gt;1),DC35,"")</f>
        <v/>
      </c>
      <c r="CU35" s="108" t="str">
        <f t="shared" ref="CU35" si="900">IF(AND($E36="A",COUNTIF($DC$19:$DD$68,DD35)&gt;1),DD35,"")</f>
        <v/>
      </c>
      <c r="CV35" s="108" t="str">
        <f t="shared" ref="CV35" ca="1" si="901">IF(AND($E36="B",COUNTIF($J$19:$J$68,J35)&gt;1),J35,"")</f>
        <v/>
      </c>
      <c r="CW35" s="108" t="str">
        <f t="shared" ref="CW35" ca="1" si="902">IF(AND($E36="B",COUNTIF($K$19:$K$68,K35)&gt;1),K35,"")</f>
        <v/>
      </c>
      <c r="CX35" s="108" t="str">
        <f t="shared" ref="CX35" ca="1" si="903">IF(AND($E36="C",COUNTIF($J$19:$J$68,J35)&gt;1),J35,"")</f>
        <v/>
      </c>
      <c r="CY35" s="108" t="str">
        <f t="shared" ref="CY35" ca="1" si="904">IF(AND($E36="P",COUNTIF($J$19:$J$68,J35)&gt;1),J35,"")</f>
        <v/>
      </c>
      <c r="CZ35" s="108" t="str">
        <f t="shared" ref="CZ35" ca="1" si="905">IF(AND($E36="P",COUNTIF($K$19:$K$68,K35)&gt;1),K35,"")</f>
        <v/>
      </c>
      <c r="DA35" s="108" t="str">
        <f t="shared" ref="DA35" si="906">IF(AND($E36="P",COUNTIF($DC$19:$DD$68,DC35)&gt;1),DC35,"")</f>
        <v/>
      </c>
      <c r="DB35" s="108" t="str">
        <f t="shared" ref="DB35" si="907">IF(AND($E36="P",COUNTIF($DC$19:$DD$68,DD35)&gt;1),DD35,"")</f>
        <v/>
      </c>
      <c r="DC35" s="108" t="str">
        <f t="shared" ref="DC35" si="908">IFERROR(IF(OR(E36="A",E36="P"),M35,""),"")</f>
        <v/>
      </c>
      <c r="DD35" s="108" t="str">
        <f t="shared" ref="DD35" si="909">IFERROR(IF(OR(E36="A",E36="P"),RIGHT(N35,2),""),"")</f>
        <v/>
      </c>
      <c r="DF35" s="108" t="str">
        <f t="shared" ref="DF35" si="910">IF(AND($F$8="Open Team Acrobatic",LEFT(F35,4)="Acro"),E36,"")</f>
        <v/>
      </c>
      <c r="DG35" s="108" t="str">
        <f t="shared" ref="DG35" si="911">IFERROR(IF(HLOOKUP(DF35,$DD$12:$DG$13,2,FALSE)&gt;2,"X",""),"")</f>
        <v/>
      </c>
      <c r="DI35" s="108" t="str">
        <f t="shared" ref="DI35" si="912">IF(OR(AND(F35="Hybrid - Thrust + 2 connections",DI36="T"),AND(F35="Hybrid - Free",DI36&lt;&gt;"")),"X","")</f>
        <v/>
      </c>
      <c r="DK35" s="108">
        <f t="shared" ref="DK35" si="913">IFERROR(IF(AND($E36="H",J35&lt;&gt;""),IF(OR(LEFT(J35,1)="T",LEFT(J35,1)="S",LEFT(J35,1)="A",LEFT(J35,1)="F",LEFT(J35,1)="C"),LEFT(J35,1),"R"),DK$18),"")</f>
        <v>1</v>
      </c>
      <c r="DL35" s="108">
        <f t="shared" ref="DL35" si="914">IFERROR(IF(AND($E36="H",K35&lt;&gt;""),IF(OR(LEFT(K35,1)="T",LEFT(K35,1)="S",LEFT(K35,1)="A",LEFT(K35,1)="F",LEFT(K35,1)="C"),LEFT(K35,1),"R"),DL$18),"")</f>
        <v>2</v>
      </c>
      <c r="DM35" s="108">
        <f t="shared" ref="DM35" si="915">IFERROR(IF(AND($E36="H",L35&lt;&gt;""),IF(OR(LEFT(L35,1)="T",LEFT(L35,1)="S",LEFT(L35,1)="A",LEFT(L35,1)="F",LEFT(L35,1)="C"),LEFT(L35,1),"R"),DM$18),"")</f>
        <v>3</v>
      </c>
      <c r="DN35" s="108">
        <f t="shared" ref="DN35" si="916">IFERROR(IF(AND($E36="H",M35&lt;&gt;""),IF(OR(LEFT(M35,1)="T",LEFT(M35,1)="S",LEFT(M35,1)="A",LEFT(M35,1)="F",LEFT(M35,1)="C"),LEFT(M35,1),"R"),DN$18),"")</f>
        <v>4</v>
      </c>
      <c r="DO35" s="108">
        <f t="shared" ref="DO35" si="917">IFERROR(IF(AND($E36="H",N35&lt;&gt;""),IF(OR(LEFT(N35,1)="T",LEFT(N35,1)="S",LEFT(N35,1)="A",LEFT(N35,1)="F",LEFT(N35,1)="C"),LEFT(N35,1),"R"),DO$18),"")</f>
        <v>5</v>
      </c>
      <c r="DP35" s="108">
        <f t="shared" ref="DP35" si="918">IFERROR(IF(AND($E36="H",O35&lt;&gt;""),IF(OR(LEFT(O35,1)="T",LEFT(O35,1)="S",LEFT(O35,1)="A",LEFT(O35,1)="F",LEFT(O35,1)="C"),LEFT(O35,1),"R"),DP$18),"")</f>
        <v>6</v>
      </c>
      <c r="DQ35" s="108">
        <f t="shared" ref="DQ35" si="919">IFERROR(IF(AND($E36="H",P35&lt;&gt;""),IF(OR(LEFT(P35,1)="T",LEFT(P35,1)="S",LEFT(P35,1)="A",LEFT(P35,1)="F",LEFT(P35,1)="C"),LEFT(P35,1),"R"),DQ$18),"")</f>
        <v>7</v>
      </c>
      <c r="DR35" s="108">
        <f t="shared" ref="DR35" si="920">IFERROR(IF(AND($E36="H",Q35&lt;&gt;""),IF(OR(LEFT(Q35,1)="T",LEFT(Q35,1)="S",LEFT(Q35,1)="A",LEFT(Q35,1)="F",LEFT(Q35,1)="C"),LEFT(Q35,1),"R"),DR$18),"")</f>
        <v>8</v>
      </c>
      <c r="DS35" s="108">
        <f t="shared" ref="DS35" si="921">IFERROR(IF(AND($E36="H",R35&lt;&gt;""),IF(OR(LEFT(R35,1)="T",LEFT(R35,1)="S",LEFT(R35,1)="A",LEFT(R35,1)="F",LEFT(R35,1)="C"),LEFT(R35,1),"R"),DS$18),"")</f>
        <v>9</v>
      </c>
      <c r="DT35" s="108">
        <f t="shared" ref="DT35" si="922">IFERROR(IF(AND($E36="H",S35&lt;&gt;""),IF(OR(LEFT(S35,1)="T",LEFT(S35,1)="S",LEFT(S35,1)="A",LEFT(S35,1)="F",LEFT(S35,1)="C"),LEFT(S35,1),"R"),DT$18),"")</f>
        <v>10</v>
      </c>
      <c r="DU35" s="108">
        <f t="shared" ref="DU35" si="923">IFERROR(IF(AND($E36="H",T35&lt;&gt;""),IF(OR(LEFT(T35,1)="T",LEFT(T35,1)="S",LEFT(T35,1)="A",LEFT(T35,1)="F",LEFT(T35,1)="C"),LEFT(T35,1),"R"),DU$18),"")</f>
        <v>11</v>
      </c>
      <c r="DV35" s="108">
        <f t="shared" ref="DV35" si="924">IFERROR(IF(AND($E36="H",U35&lt;&gt;""),IF(OR(LEFT(U35,1)="T",LEFT(U35,1)="S",LEFT(U35,1)="A",LEFT(U35,1)="F",LEFT(U35,1)="C"),LEFT(U35,1),"R"),DV$18),"")</f>
        <v>12</v>
      </c>
      <c r="DW35" s="108">
        <f t="shared" ref="DW35" si="925">IFERROR(IF(AND($E36="H",V35&lt;&gt;""),IF(OR(LEFT(V35,1)="T",LEFT(V35,1)="S",LEFT(V35,1)="A",LEFT(V35,1)="F",LEFT(V35,1)="C"),LEFT(V35,1),"R"),DW$18),"")</f>
        <v>13</v>
      </c>
      <c r="DX35" s="108">
        <f t="shared" ref="DX35" si="926">IFERROR(IF(AND($E36="H",W35&lt;&gt;""),IF(OR(LEFT(W35,1)="T",LEFT(W35,1)="S",LEFT(W35,1)="A",LEFT(W35,1)="F",LEFT(W35,1)="C"),LEFT(W35,1),"R"),DX$18),"")</f>
        <v>14</v>
      </c>
      <c r="DY35" s="108">
        <f t="shared" ref="DY35" si="927">IFERROR(IF(AND($E36="H",X35&lt;&gt;""),IF(OR(LEFT(X35,1)="T",LEFT(X35,1)="S",LEFT(X35,1)="A",LEFT(X35,1)="F",LEFT(X35,1)="C"),LEFT(X35,1),"R"),DY$18),"")</f>
        <v>15</v>
      </c>
      <c r="DZ35" s="108">
        <f t="shared" ref="DZ35" si="928">IFERROR(IF(AND($E36="H",Y35&lt;&gt;""),IF(OR(LEFT(Y35,1)="T",LEFT(Y35,1)="S",LEFT(Y35,1)="A",LEFT(Y35,1)="F",LEFT(Y35,1)="C"),LEFT(Y35,1),"R"),DZ$18),"")</f>
        <v>16</v>
      </c>
      <c r="EA35" s="108">
        <f t="shared" ref="EA35" si="929">IFERROR(IF(AND($E36="H",Z35&lt;&gt;""),IF(OR(LEFT(Z35,1)="T",LEFT(Z35,1)="S",LEFT(Z35,1)="A",LEFT(Z35,1)="F",LEFT(Z35,1)="C"),LEFT(Z35,1),"R"),EA$18),"")</f>
        <v>17</v>
      </c>
      <c r="EB35" s="108">
        <f t="shared" ref="EB35" si="930">IFERROR(IF(AND($E36="H",AA35&lt;&gt;""),IF(OR(LEFT(AA35,1)="T",LEFT(AA35,1)="S",LEFT(AA35,1)="A",LEFT(AA35,1)="F",LEFT(AA35,1)="C"),LEFT(AA35,1),"R"),EB$18),"")</f>
        <v>18</v>
      </c>
      <c r="EC35" s="108">
        <f t="shared" ref="EC35" si="931">IFERROR(IF(AND($E36="H",AB35&lt;&gt;""),IF(OR(LEFT(AB35,1)="T",LEFT(AB35,1)="S",LEFT(AB35,1)="A",LEFT(AB35,1)="F",LEFT(AB35,1)="C"),LEFT(AB35,1),"R"),EC$18),"")</f>
        <v>19</v>
      </c>
      <c r="ED35" s="108">
        <f t="shared" ref="ED35" si="932">IFERROR(IF(AND($E36="H",AC35&lt;&gt;""),IF(OR(LEFT(AC35,1)="T",LEFT(AC35,1)="S",LEFT(AC35,1)="A",LEFT(AC35,1)="F",LEFT(AC35,1)="C"),LEFT(AC35,1),"R"),ED$18),"")</f>
        <v>20</v>
      </c>
      <c r="EE35" s="108"/>
      <c r="EF35" s="108"/>
      <c r="EG35" s="108">
        <f t="shared" ref="EG35:EZ35" si="933">IFERROR(IF(J35&lt;&gt;"",UPPER(J35),EG$18),EG$18)</f>
        <v>1</v>
      </c>
      <c r="EH35" s="108">
        <f t="shared" si="933"/>
        <v>2</v>
      </c>
      <c r="EI35" s="108">
        <f t="shared" si="933"/>
        <v>3</v>
      </c>
      <c r="EJ35" s="108">
        <f t="shared" si="933"/>
        <v>4</v>
      </c>
      <c r="EK35" s="108">
        <f t="shared" si="933"/>
        <v>5</v>
      </c>
      <c r="EL35" s="108">
        <f t="shared" si="933"/>
        <v>6</v>
      </c>
      <c r="EM35" s="108">
        <f t="shared" si="933"/>
        <v>7</v>
      </c>
      <c r="EN35" s="108">
        <f t="shared" si="933"/>
        <v>8</v>
      </c>
      <c r="EO35" s="108">
        <f t="shared" si="933"/>
        <v>9</v>
      </c>
      <c r="EP35" s="108">
        <f t="shared" si="933"/>
        <v>10</v>
      </c>
      <c r="EQ35" s="108">
        <f t="shared" si="933"/>
        <v>11</v>
      </c>
      <c r="ER35" s="108">
        <f t="shared" si="933"/>
        <v>12</v>
      </c>
      <c r="ES35" s="108">
        <f t="shared" si="933"/>
        <v>13</v>
      </c>
      <c r="ET35" s="108">
        <f t="shared" si="933"/>
        <v>14</v>
      </c>
      <c r="EU35" s="108">
        <f t="shared" si="933"/>
        <v>15</v>
      </c>
      <c r="EV35" s="108">
        <f t="shared" si="933"/>
        <v>16</v>
      </c>
      <c r="EW35" s="108">
        <f t="shared" si="933"/>
        <v>17</v>
      </c>
      <c r="EX35" s="108">
        <f t="shared" si="933"/>
        <v>18</v>
      </c>
      <c r="EY35" s="108">
        <f t="shared" si="933"/>
        <v>19</v>
      </c>
      <c r="EZ35" s="108">
        <f t="shared" si="933"/>
        <v>20</v>
      </c>
      <c r="FA35" s="108"/>
      <c r="FB35" s="108">
        <f t="shared" ref="FB35:FG67" si="934">COUNTIF($DK35:$ED35,FB$18)</f>
        <v>0</v>
      </c>
      <c r="FC35" s="108">
        <f t="shared" si="934"/>
        <v>0</v>
      </c>
      <c r="FD35" s="108">
        <f t="shared" si="934"/>
        <v>0</v>
      </c>
      <c r="FE35" s="108">
        <f t="shared" si="934"/>
        <v>0</v>
      </c>
      <c r="FF35" s="108">
        <f t="shared" si="934"/>
        <v>0</v>
      </c>
      <c r="FG35" s="108">
        <f t="shared" si="934"/>
        <v>0</v>
      </c>
      <c r="FH35" s="108"/>
      <c r="FI35" s="108" t="str">
        <f t="shared" ref="FI35" si="935">IF(AND($F35="Hybrid - Thrust + 2 connections",FI36=0,LEFT($J35,1)="C",LEFT($K35,1)="C",LEFT($L35,1)="C"),"X","")</f>
        <v/>
      </c>
      <c r="FJ35" s="108"/>
      <c r="FL35" s="120" t="e">
        <f>IF(OR(LEFT(#REF!,2)="PL",LEFT(#REF!,2)="PL",LEFT(#REF!,2)="PL",LEFT(#REF!,2)="PL",LEFT(#REF!,2)="PL"),IF($BS$17-BR35&gt;$FL$17,"X",""),"")</f>
        <v>#REF!</v>
      </c>
      <c r="FM35" s="120"/>
      <c r="FN35" s="111" t="str">
        <f>IF(E36=3,_xlfn.NUMBERVALUE(LEFT(J35,1)),"")</f>
        <v/>
      </c>
    </row>
    <row r="36" spans="1:170" ht="12.75" x14ac:dyDescent="0.25">
      <c r="A36" s="40"/>
      <c r="B36" s="41"/>
      <c r="C36" s="41"/>
      <c r="D36" s="41"/>
      <c r="E36" s="21" t="str">
        <f t="shared" ref="E36" si="936">IF(F35="Acrobatic - Pair","PA",IF(F35="Acrobatic Airborn","A",IF(F35="Acrobatic Balance","B",IF(F35="Acrobatic Combined","C",IF(F35="Acrobatic Platform","P",IF(F35="Technical Required Element",3,IF(LEFT(F35,4)="Hybr","H","")))))))</f>
        <v/>
      </c>
      <c r="F36" s="21" t="str">
        <f>IF(AND(F35="Hybrid - Thrust + 2 connections",BU35="X"),"Hybrid - Thrust",IF(OR(E36="A",E36="B",E36="C",E36="P"),"Acrobatic",""))</f>
        <v/>
      </c>
      <c r="G36" s="43"/>
      <c r="H36" s="222" t="str">
        <f t="shared" ref="H36" si="937">IF(E36="PA",IF(OR(LEFT(J35,1)="L",LEFT(J35,1)="S"),"A-Pair-Lift",IF(OR(LEFT(J35,1)="W",LEFT(J35,1)="T"),"A-Pair-Throw",IF(LEFT(J35,1)="J","A-Pair-Jump","A-Pair"))),IF(OR(E36="A",E36="B",E36="C",E36="P"),CONCATENATE("Acro-",E36),""))</f>
        <v/>
      </c>
      <c r="I36" s="216" t="e">
        <f t="shared" ref="I36" si="938">IF(OR(F35="Hybrid - min 4 swimmers (no DD)",LEFT(F35,5)="Trans"),0,INDEX($BV$3:$BV$9,MATCH(E36,$BU$3:$BU$9,0)))</f>
        <v>#N/A</v>
      </c>
      <c r="J36" s="210">
        <f t="shared" ref="J36" ca="1" si="939">IFERROR(IF($H35="No DD",0,IF(OR(ISBLANK(J35),J35="N/A"),0,INDEX(INDIRECT(AV36),MATCH(J35,INDIRECT(AV35),0)))),0)</f>
        <v>0</v>
      </c>
      <c r="K36" s="210">
        <f t="shared" ref="K36" ca="1" si="940">IFERROR(IF($H35="No DD",0,IF(OR(ISBLANK(K35),K35="N/A"),0,INDEX(INDIRECT(AW36),MATCH(K35,INDIRECT(AW35),0)))),0)</f>
        <v>0</v>
      </c>
      <c r="L36" s="210">
        <f t="shared" ref="L36" ca="1" si="941">IFERROR(IF($H35="No DD",0,IF(OR(ISBLANK(L35),L35="N/A"),0,INDEX(INDIRECT(AX36),MATCH(L35,INDIRECT(AX35),0)))),0)</f>
        <v>0</v>
      </c>
      <c r="M36" s="210">
        <f t="shared" ref="M36" ca="1" si="942">IFERROR(IF($H35="No DD",0,IF(OR(ISBLANK(M35),M35="N/A"),0,INDEX(INDIRECT(AY36),MATCH(M35,INDIRECT(AY35),0)))),0)</f>
        <v>0</v>
      </c>
      <c r="N36" s="210">
        <f t="shared" ref="N36" ca="1" si="943">IFERROR(IF($H35="No DD",0,IF(OR(ISBLANK(N35),N35="N/A"),0,INDEX(INDIRECT(AZ36),MATCH(N35,INDIRECT(AZ35),0)))),0)</f>
        <v>0</v>
      </c>
      <c r="O36" s="210">
        <f t="shared" ref="O36" ca="1" si="944">IFERROR(IF($H35="No DD",0,IF(OR(ISBLANK(O35),O35="N/A"),0,INDEX(INDIRECT(BA36),MATCH(O35,INDIRECT(BA35),0)))),0)</f>
        <v>0</v>
      </c>
      <c r="P36" s="210">
        <f t="shared" ref="P36" ca="1" si="945">IFERROR(IF($H35="No DD",0,IF(OR(ISBLANK(P35),P35="N/A"),0,INDEX(INDIRECT(BB36),MATCH(P35,INDIRECT(BB35),0)))),0)</f>
        <v>0</v>
      </c>
      <c r="Q36" s="210">
        <f t="shared" ref="Q36" ca="1" si="946">IFERROR(IF($H35="No DD",0,IF(OR(ISBLANK(Q35),Q35="N/A"),0,INDEX(INDIRECT(BC36),MATCH(Q35,INDIRECT(BC35),0)))),0)</f>
        <v>0</v>
      </c>
      <c r="R36" s="210">
        <f t="shared" ref="R36" ca="1" si="947">IFERROR(IF($H35="No DD",0,IF(OR(ISBLANK(R35),R35="N/A"),0,INDEX(INDIRECT(BD36),MATCH(R35,INDIRECT(BD35),0)))),0)</f>
        <v>0</v>
      </c>
      <c r="S36" s="210">
        <f t="shared" ref="S36" ca="1" si="948">IFERROR(IF($H35="No DD",0,IF(OR(ISBLANK(S35),S35="N/A"),0,INDEX(INDIRECT(BE36),MATCH(S35,INDIRECT(BE35),0)))),0)</f>
        <v>0</v>
      </c>
      <c r="T36" s="210">
        <f t="shared" ref="T36" ca="1" si="949">IFERROR(IF($H35="No DD",0,IF(OR(ISBLANK(T35),T35="N/A"),0,INDEX(INDIRECT(BF36),MATCH(T35,INDIRECT(BF35),0)))),0)</f>
        <v>0</v>
      </c>
      <c r="U36" s="210">
        <f t="shared" ref="U36" ca="1" si="950">IFERROR(IF($H35="No DD",0,IF(OR(ISBLANK(U35),U35="N/A"),0,INDEX(INDIRECT(BG36),MATCH(U35,INDIRECT(BG35),0)))),0)</f>
        <v>0</v>
      </c>
      <c r="V36" s="210">
        <f t="shared" ref="V36" ca="1" si="951">IFERROR(IF($H35="No DD",0,IF(OR(ISBLANK(V35),V35="N/A"),0,INDEX(INDIRECT(BH36),MATCH(V35,INDIRECT(BH35),0)))),0)</f>
        <v>0</v>
      </c>
      <c r="W36" s="210">
        <f t="shared" ref="W36" ca="1" si="952">IFERROR(IF($H35="No DD",0,IF(OR(ISBLANK(W35),W35="N/A"),0,INDEX(INDIRECT(BI36),MATCH(W35,INDIRECT(BI35),0)))),0)</f>
        <v>0</v>
      </c>
      <c r="X36" s="210">
        <f t="shared" ref="X36" ca="1" si="953">IFERROR(IF($H35="No DD",0,IF(OR(ISBLANK(X35),X35="N/A"),0,INDEX(INDIRECT(BJ36),MATCH(X35,INDIRECT(BJ35),0)))),0)</f>
        <v>0</v>
      </c>
      <c r="Y36" s="210">
        <f t="shared" ref="Y36" ca="1" si="954">IFERROR(IF($H35="No DD",0,IF(OR(ISBLANK(Y35),Y35="N/A"),0,INDEX(INDIRECT(BK36),MATCH(Y35,INDIRECT(BK35),0)))),0)</f>
        <v>0</v>
      </c>
      <c r="Z36" s="210">
        <f t="shared" ref="Z36" ca="1" si="955">IFERROR(IF($H35="No DD",0,IF(OR(ISBLANK(Z35),Z35="N/A"),0,INDEX(INDIRECT(BL36),MATCH(Z35,INDIRECT(BL35),0)))),0)</f>
        <v>0</v>
      </c>
      <c r="AA36" s="210">
        <f t="shared" ref="AA36" ca="1" si="956">IFERROR(IF($H35="No DD",0,IF(OR(ISBLANK(AA35),AA35="N/A"),0,INDEX(INDIRECT(BM36),MATCH(AA35,INDIRECT(BM35),0)))),0)</f>
        <v>0</v>
      </c>
      <c r="AB36" s="210">
        <f t="shared" ref="AB36" ca="1" si="957">IFERROR(IF($H35="No DD",0,IF(OR(ISBLANK(AB35),AB35="N/A"),0,INDEX(INDIRECT(BN36),MATCH(AB35,INDIRECT(BN35),0)))),0)</f>
        <v>0</v>
      </c>
      <c r="AC36" s="210">
        <f t="shared" ref="AC36" ca="1" si="958">IFERROR(IF($H35="No DD",0,IF(OR(ISBLANK(AC35),AC35="N/A"),0,INDEX(INDIRECT(BO36),MATCH(AC35,INDIRECT(BO35),0)))),0)</f>
        <v>0</v>
      </c>
      <c r="AD36" s="211" t="str">
        <f>IFERROR(IF(E36="H",INDEX(HybridBonus_Value,MATCH(AD35,HybridBonus_Code,0)),""),"")</f>
        <v/>
      </c>
      <c r="AE36" s="209" t="str">
        <f t="shared" ref="AE36" si="959">IFERROR(IF(J35&lt;&gt;"",SUM(I36:AD36),""),"")</f>
        <v/>
      </c>
      <c r="AF36" s="76"/>
      <c r="AG36" s="76"/>
      <c r="AH36" s="121"/>
      <c r="AI36" s="121"/>
      <c r="AJ36" s="121"/>
      <c r="AK36" s="121"/>
      <c r="AL36" s="121"/>
      <c r="AM36" s="121"/>
      <c r="AN36" s="121"/>
      <c r="AO36" s="121"/>
      <c r="AP36" s="121"/>
      <c r="AQ36" s="121"/>
      <c r="AR36" s="121"/>
      <c r="AS36" s="121"/>
      <c r="AT36" s="110"/>
      <c r="AU36" s="121"/>
      <c r="AV36" s="111" t="str">
        <f t="shared" ref="AV36" si="960">IF($E36="H","HybridDD_Value",IF($E36=3,"TreDD_Value",IF($E36="PA","AcroPair_Value",IF(LEFT($F35,4)="Acro",CONCATENATE(AV$16,$E36,"_Value"),""))))</f>
        <v/>
      </c>
      <c r="AW36" s="111" t="str">
        <f t="shared" ref="AW36:AX36" si="961">IF($E36="H","HybridDD_Value",IF($E36=3,"",IF(LEFT($F35,4)="Acro",CONCATENATE(AW$16,$E36,"_Value"),IF($E36="PA","",""))))</f>
        <v/>
      </c>
      <c r="AX36" s="111" t="str">
        <f t="shared" si="961"/>
        <v/>
      </c>
      <c r="AY36" s="111" t="str">
        <f t="shared" ref="AY36:BD36" si="962">IF($E36="H","HybridDD_Value",IF($E36=3,"",IF(LEFT($F35,4)="Acro",CONCATENATE(AY$16,$E36,"_Value"),IF($E36="PA","",""))))</f>
        <v/>
      </c>
      <c r="AZ36" s="111" t="str">
        <f t="shared" si="962"/>
        <v/>
      </c>
      <c r="BA36" s="111" t="str">
        <f t="shared" si="962"/>
        <v/>
      </c>
      <c r="BB36" s="111" t="str">
        <f t="shared" si="962"/>
        <v/>
      </c>
      <c r="BC36" s="111" t="str">
        <f t="shared" si="962"/>
        <v/>
      </c>
      <c r="BD36" s="111" t="str">
        <f t="shared" si="962"/>
        <v/>
      </c>
      <c r="BE36" s="110" t="str">
        <f t="shared" ref="BE36" si="963">IF($E36="H","HybridDD_Value","Data!$BI$1:$BI$5")</f>
        <v>Data!$BI$1:$BI$5</v>
      </c>
      <c r="BF36" s="110" t="str">
        <f t="shared" si="522"/>
        <v>Data!$BI$1:$BI$5</v>
      </c>
      <c r="BG36" s="110" t="str">
        <f t="shared" si="522"/>
        <v>Data!$BI$1:$BI$5</v>
      </c>
      <c r="BH36" s="110" t="str">
        <f t="shared" si="522"/>
        <v>Data!$BI$1:$BI$5</v>
      </c>
      <c r="BI36" s="110" t="str">
        <f t="shared" si="522"/>
        <v>Data!$BI$1:$BI$5</v>
      </c>
      <c r="BJ36" s="110" t="str">
        <f t="shared" si="522"/>
        <v>Data!$BI$1:$BI$5</v>
      </c>
      <c r="BK36" s="110" t="str">
        <f t="shared" si="522"/>
        <v>Data!$BI$1:$BI$5</v>
      </c>
      <c r="BL36" s="110" t="str">
        <f t="shared" si="522"/>
        <v>Data!$BI$1:$BI$5</v>
      </c>
      <c r="BM36" s="110" t="str">
        <f t="shared" si="522"/>
        <v>Data!$BI$1:$BI$5</v>
      </c>
      <c r="BN36" s="110" t="str">
        <f t="shared" si="522"/>
        <v>Data!$BI$1:$BI$5</v>
      </c>
      <c r="BO36" s="110" t="str">
        <f t="shared" si="522"/>
        <v>Data!$BI$1:$BI$5</v>
      </c>
      <c r="BP36" s="121"/>
      <c r="BQ36" s="121"/>
      <c r="BR36" s="122" t="str">
        <f>IFERROR(IF(AND($BS$6="T",$BS$8="T",LEFT(F35,4)="Acro",AE36&gt;3),"X",IF($N$7="X",IF(AND(E36="C",AE36&gt;$CA$6),"X",IF(AND(E36="A",AE36&gt;$CA$4),"X",IF(AND(E36="B",AE36&gt;$CA$5),"X",IF(AND(E36="P",AE36&gt;$CA$7),"X","")))),"")),"")</f>
        <v/>
      </c>
      <c r="BS36" s="114"/>
      <c r="BU36" s="108"/>
      <c r="CA36" s="111"/>
      <c r="CB36" s="111"/>
      <c r="CC36" s="111"/>
      <c r="CG36" s="108" t="str">
        <f t="shared" si="9"/>
        <v/>
      </c>
      <c r="CH36" s="108" t="str">
        <f t="shared" si="10"/>
        <v/>
      </c>
      <c r="CI36" s="108" t="str">
        <f t="shared" si="11"/>
        <v/>
      </c>
      <c r="CJ36" s="108" t="str">
        <f t="shared" si="12"/>
        <v/>
      </c>
      <c r="CR36" s="108">
        <v>18</v>
      </c>
      <c r="DI36" s="108" t="str" cm="1">
        <f t="array" ref="DI36">IFERROR(INDEX(DK36:ED36,MATCH(TRUE,INDEX((DK36:ED36&lt;&gt;""),),0)),"")</f>
        <v/>
      </c>
      <c r="DK36" s="108" t="str">
        <f t="shared" ref="DK36" si="964">IF(F35="Hybrid - Thrust + 2 connections",IF(COUNTIF($DK35:$ED35,DK35)&gt;1,DK35,""),IF(COUNTIF($DK35:$ED35,DK35)&gt;5,DK35,""))</f>
        <v/>
      </c>
      <c r="DL36" s="108" t="str">
        <f t="shared" ref="DL36" si="965">IF(G35="Hybrid - Thrust + 2 connections",IF(COUNTIF($DK35:$ED35,DL35)&gt;1,DL35,""),IF(COUNTIF($DK35:$ED35,DL35)&gt;5,DL35,""))</f>
        <v/>
      </c>
      <c r="DM36" s="108" t="str">
        <f t="shared" ref="DM36" si="966">IF(H35="Hybrid - Thrust + 2 connections",IF(COUNTIF($DK35:$ED35,DM35)&gt;1,DM35,""),IF(COUNTIF($DK35:$ED35,DM35)&gt;5,DM35,""))</f>
        <v/>
      </c>
      <c r="DN36" s="108" t="str">
        <f t="shared" ref="DN36" si="967">IF(I35="Hybrid - Thrust + 2 connections",IF(COUNTIF($DK35:$ED35,DN35)&gt;1,DN35,""),IF(COUNTIF($DK35:$ED35,DN35)&gt;5,DN35,""))</f>
        <v/>
      </c>
      <c r="DO36" s="108" t="str">
        <f t="shared" ref="DO36" si="968">IF(J35="Hybrid - Thrust + 2 connections",IF(COUNTIF($DK35:$ED35,DO35)&gt;1,DO35,""),IF(COUNTIF($DK35:$ED35,DO35)&gt;5,DO35,""))</f>
        <v/>
      </c>
      <c r="DP36" s="108" t="str">
        <f t="shared" ref="DP36" si="969">IF(K35="Hybrid - Thrust + 2 connections",IF(COUNTIF($DK35:$ED35,DP35)&gt;1,DP35,""),IF(COUNTIF($DK35:$ED35,DP35)&gt;5,DP35,""))</f>
        <v/>
      </c>
      <c r="DQ36" s="108" t="str">
        <f t="shared" ref="DQ36" si="970">IF(L35="Hybrid - Thrust + 2 connections",IF(COUNTIF($DK35:$ED35,DQ35)&gt;1,DQ35,""),IF(COUNTIF($DK35:$ED35,DQ35)&gt;5,DQ35,""))</f>
        <v/>
      </c>
      <c r="DR36" s="108" t="str">
        <f t="shared" ref="DR36" si="971">IF(M35="Hybrid - Thrust + 2 connections",IF(COUNTIF($DK35:$ED35,DR35)&gt;1,DR35,""),IF(COUNTIF($DK35:$ED35,DR35)&gt;5,DR35,""))</f>
        <v/>
      </c>
      <c r="DS36" s="108" t="str">
        <f t="shared" ref="DS36" si="972">IF(N35="Hybrid - Thrust + 2 connections",IF(COUNTIF($DK35:$ED35,DS35)&gt;1,DS35,""),IF(COUNTIF($DK35:$ED35,DS35)&gt;5,DS35,""))</f>
        <v/>
      </c>
      <c r="DT36" s="108" t="str">
        <f t="shared" ref="DT36" si="973">IF(O35="Hybrid - Thrust + 2 connections",IF(COUNTIF($DK35:$ED35,DT35)&gt;1,DT35,""),IF(COUNTIF($DK35:$ED35,DT35)&gt;5,DT35,""))</f>
        <v/>
      </c>
      <c r="DU36" s="108" t="str">
        <f t="shared" ref="DU36" si="974">IF(P35="Hybrid - Thrust + 2 connections",IF(COUNTIF($DK35:$ED35,DU35)&gt;1,DU35,""),IF(COUNTIF($DK35:$ED35,DU35)&gt;5,DU35,""))</f>
        <v/>
      </c>
      <c r="DV36" s="108" t="str">
        <f t="shared" ref="DV36" si="975">IF(Q35="Hybrid - Thrust + 2 connections",IF(COUNTIF($DK35:$ED35,DV35)&gt;1,DV35,""),IF(COUNTIF($DK35:$ED35,DV35)&gt;5,DV35,""))</f>
        <v/>
      </c>
      <c r="DW36" s="108" t="str">
        <f t="shared" ref="DW36" si="976">IF(R35="Hybrid - Thrust + 2 connections",IF(COUNTIF($DK35:$ED35,DW35)&gt;1,DW35,""),IF(COUNTIF($DK35:$ED35,DW35)&gt;5,DW35,""))</f>
        <v/>
      </c>
      <c r="DX36" s="108" t="str">
        <f t="shared" ref="DX36" si="977">IF(S35="Hybrid - Thrust + 2 connections",IF(COUNTIF($DK35:$ED35,DX35)&gt;1,DX35,""),IF(COUNTIF($DK35:$ED35,DX35)&gt;5,DX35,""))</f>
        <v/>
      </c>
      <c r="DY36" s="108" t="str">
        <f t="shared" ref="DY36" si="978">IF(T35="Hybrid - Thrust + 2 connections",IF(COUNTIF($DK35:$ED35,DY35)&gt;1,DY35,""),IF(COUNTIF($DK35:$ED35,DY35)&gt;5,DY35,""))</f>
        <v/>
      </c>
      <c r="DZ36" s="108" t="str">
        <f t="shared" ref="DZ36" si="979">IF(U35="Hybrid - Thrust + 2 connections",IF(COUNTIF($DK35:$ED35,DZ35)&gt;1,DZ35,""),IF(COUNTIF($DK35:$ED35,DZ35)&gt;5,DZ35,""))</f>
        <v/>
      </c>
      <c r="EA36" s="108" t="str">
        <f t="shared" ref="EA36" si="980">IF(V35="Hybrid - Thrust + 2 connections",IF(COUNTIF($DK35:$ED35,EA35)&gt;1,EA35,""),IF(COUNTIF($DK35:$ED35,EA35)&gt;5,EA35,""))</f>
        <v/>
      </c>
      <c r="EB36" s="108" t="str">
        <f t="shared" ref="EB36" si="981">IF(W35="Hybrid - Thrust + 2 connections",IF(COUNTIF($DK35:$ED35,EB35)&gt;1,EB35,""),IF(COUNTIF($DK35:$ED35,EB35)&gt;5,EB35,""))</f>
        <v/>
      </c>
      <c r="EC36" s="108" t="str">
        <f t="shared" ref="EC36" si="982">IF(X35="Hybrid - Thrust + 2 connections",IF(COUNTIF($DK35:$ED35,EC35)&gt;1,EC35,""),IF(COUNTIF($DK35:$ED35,EC35)&gt;5,EC35,""))</f>
        <v/>
      </c>
      <c r="ED36" s="108" t="str">
        <f t="shared" ref="ED36" si="983">IF(Y35="Hybrid - Thrust + 2 connections",IF(COUNTIF($DK35:$ED35,ED35)&gt;1,ED35,""),IF(COUNTIF($DK35:$ED35,ED35)&gt;5,ED35,""))</f>
        <v/>
      </c>
      <c r="EE36" s="108"/>
      <c r="EF36" s="108" t="str" cm="1">
        <f t="array" ref="EF36">IFERROR(INDEX(EG36:EZ36,MATCH(TRUE,INDEX((EG36:EZ36&lt;&gt;""),),0)),"")</f>
        <v/>
      </c>
      <c r="EG36" s="108" t="str">
        <f t="shared" ref="EG36" si="984">IF(COUNTIF($EG35:$EZ35,EG35)&gt;3,EG35,"")</f>
        <v/>
      </c>
      <c r="EH36" s="108" t="str">
        <f t="shared" ref="EH36" si="985">IF(COUNTIF($EG35:$EZ35,EH35)&gt;3,EH35,"")</f>
        <v/>
      </c>
      <c r="EI36" s="108" t="str">
        <f t="shared" ref="EI36" si="986">IF(COUNTIF($EG35:$EZ35,EI35)&gt;3,EI35,"")</f>
        <v/>
      </c>
      <c r="EJ36" s="108" t="str">
        <f t="shared" ref="EJ36" si="987">IF(COUNTIF($EG35:$EZ35,EJ35)&gt;3,EJ35,"")</f>
        <v/>
      </c>
      <c r="EK36" s="108" t="str">
        <f t="shared" ref="EK36" si="988">IF(COUNTIF($EG35:$EZ35,EK35)&gt;3,EK35,"")</f>
        <v/>
      </c>
      <c r="EL36" s="108" t="str">
        <f t="shared" ref="EL36" si="989">IF(COUNTIF($EG35:$EZ35,EL35)&gt;3,EL35,"")</f>
        <v/>
      </c>
      <c r="EM36" s="108" t="str">
        <f t="shared" ref="EM36" si="990">IF(COUNTIF($EG35:$EZ35,EM35)&gt;3,EM35,"")</f>
        <v/>
      </c>
      <c r="EN36" s="108" t="str">
        <f t="shared" ref="EN36" si="991">IF(COUNTIF($EG35:$EZ35,EN35)&gt;3,EN35,"")</f>
        <v/>
      </c>
      <c r="EO36" s="108" t="str">
        <f t="shared" ref="EO36" si="992">IF(COUNTIF($EG35:$EZ35,EO35)&gt;3,EO35,"")</f>
        <v/>
      </c>
      <c r="EP36" s="108" t="str">
        <f t="shared" ref="EP36" si="993">IF(COUNTIF($EG35:$EZ35,EP35)&gt;3,EP35,"")</f>
        <v/>
      </c>
      <c r="EQ36" s="108" t="str">
        <f t="shared" ref="EQ36" si="994">IF(COUNTIF($EG35:$EZ35,EQ35)&gt;3,EQ35,"")</f>
        <v/>
      </c>
      <c r="ER36" s="108" t="str">
        <f t="shared" ref="ER36" si="995">IF(COUNTIF($EG35:$EZ35,ER35)&gt;3,ER35,"")</f>
        <v/>
      </c>
      <c r="ES36" s="108" t="str">
        <f t="shared" ref="ES36" si="996">IF(COUNTIF($EG35:$EZ35,ES35)&gt;3,ES35,"")</f>
        <v/>
      </c>
      <c r="ET36" s="108" t="str">
        <f t="shared" ref="ET36" si="997">IF(COUNTIF($EG35:$EZ35,ET35)&gt;3,ET35,"")</f>
        <v/>
      </c>
      <c r="EU36" s="108" t="str">
        <f t="shared" ref="EU36" si="998">IF(COUNTIF($EG35:$EZ35,EU35)&gt;3,EU35,"")</f>
        <v/>
      </c>
      <c r="EV36" s="108" t="str">
        <f t="shared" ref="EV36" si="999">IF(COUNTIF($EG35:$EZ35,EV35)&gt;3,EV35,"")</f>
        <v/>
      </c>
      <c r="EW36" s="108" t="str">
        <f t="shared" ref="EW36" si="1000">IF(COUNTIF($EG35:$EZ35,EW35)&gt;3,EW35,"")</f>
        <v/>
      </c>
      <c r="EX36" s="108" t="str">
        <f t="shared" ref="EX36" si="1001">IF(COUNTIF($EG35:$EZ35,EX35)&gt;3,EX35,"")</f>
        <v/>
      </c>
      <c r="EY36" s="108" t="str">
        <f t="shared" ref="EY36" si="1002">IF(COUNTIF($EG35:$EZ35,EY35)&gt;3,EY35,"")</f>
        <v/>
      </c>
      <c r="EZ36" s="108" t="str">
        <f t="shared" ref="EZ36" si="1003">IF(COUNTIF($EG35:$EZ35,EZ35)&gt;3,EZ35,"")</f>
        <v/>
      </c>
      <c r="FA36" s="108"/>
      <c r="FB36" s="108"/>
      <c r="FC36" s="108"/>
      <c r="FD36" s="108"/>
      <c r="FE36" s="108"/>
      <c r="FF36" s="108"/>
      <c r="FG36" s="108"/>
      <c r="FH36" s="108"/>
      <c r="FI36" s="108" t="str">
        <f t="shared" ref="FI36" si="1004">IF($F35="Hybrid - Thrust + 2 connections",COUNTBLANK(J35:L35),"")</f>
        <v/>
      </c>
      <c r="FJ36" s="108"/>
      <c r="FN36" s="111"/>
    </row>
    <row r="37" spans="1:170" ht="12.75" x14ac:dyDescent="0.25">
      <c r="A37" s="40" t="str">
        <f>IF(AND(E35="",A35&lt;&gt;""),IF(BS35=$BS$18,"",IF(C35&lt;&gt;"",IF(D35=59,MINUTE(BS35)+1,MINUTE(BS35)),"")),"")</f>
        <v/>
      </c>
      <c r="B37" s="41" t="str">
        <f>IF(AND(E35="",B35&lt;&gt;""),IF(BS35=$BS$18,"",IF(C35&lt;&gt;"",IF(D35=59,0,SECOND(BS35)+1),"")),"")</f>
        <v/>
      </c>
      <c r="C37" s="51"/>
      <c r="D37" s="51"/>
      <c r="E37" s="9"/>
      <c r="F37" s="52"/>
      <c r="G37" s="43" t="str">
        <f>IF(F37&lt;&gt;"",IF(OR(F37="Transition",F37="Transition - Surface Connection"),0,MAX($G$19:G36)+1),"")</f>
        <v/>
      </c>
      <c r="H37" s="57" t="str">
        <f t="shared" ref="H37" si="1005">IFERROR(IF(E38="3","",IF(OR(F37="Hybrid - min 4 swimmers (no DD)",LEFT(F37,5)="Trans"),"No DD",CONCATENATE("BM = ",I38))),"")</f>
        <v/>
      </c>
      <c r="I37" s="58"/>
      <c r="J37" s="130"/>
      <c r="K37" s="137"/>
      <c r="L37" s="137"/>
      <c r="M37" s="137"/>
      <c r="N37" s="137"/>
      <c r="O37" s="137"/>
      <c r="P37" s="137"/>
      <c r="Q37" s="137"/>
      <c r="R37" s="137"/>
      <c r="S37" s="137"/>
      <c r="T37" s="137"/>
      <c r="U37" s="137"/>
      <c r="V37" s="137"/>
      <c r="W37" s="137"/>
      <c r="X37" s="137"/>
      <c r="Y37" s="137"/>
      <c r="Z37" s="137"/>
      <c r="AA37" s="137"/>
      <c r="AB37" s="137"/>
      <c r="AC37" s="137"/>
      <c r="AD37" s="191"/>
      <c r="AE37" s="44"/>
      <c r="AF37" s="75"/>
      <c r="AG37" s="75"/>
      <c r="AH37" s="110"/>
      <c r="AI37" s="110"/>
      <c r="AJ37" s="110"/>
      <c r="AK37" s="110"/>
      <c r="AL37" s="110"/>
      <c r="AM37" s="110"/>
      <c r="AN37" s="110"/>
      <c r="AO37" s="110"/>
      <c r="AP37" s="110"/>
      <c r="AQ37" s="110"/>
      <c r="AR37" s="110"/>
      <c r="AS37" s="110"/>
      <c r="AT37" s="110" t="str">
        <f>IFERROR(IF(F37&lt;&gt;"",INDEX(Parts_Active,MATCH(F37,Parts_Active,0)),""),"No")</f>
        <v/>
      </c>
      <c r="AU37" s="110"/>
      <c r="AV37" s="110" t="str">
        <f t="shared" ref="AV37" si="1006">IF($E38="H",IF($F37="Hybrid - Thrust + 2 connections","Hybrid_Mix_Req","HybridDD_Code"),IF($E38=3,"TreDD_Code",IF($E38="PA","AcroPair_Code",IF(LEFT($F37,4)="Acro",CONCATENATE(AV$16,$E38,"_Code"),"Data!$BI$1:$BI$5"))))</f>
        <v>Data!$BI$1:$BI$5</v>
      </c>
      <c r="AW37" s="110" t="str">
        <f t="shared" ref="AW37" si="1007">IF($E38="H",IF($F37="Hybrid - Thrust + 2 connections","Hybrid_Mix_Req","HybridDD_Code"),IF($E38=3,"TreDD_Code",IF($E38="PA","AcroPair_Code",IF(LEFT($F37,4)="Acro",CONCATENATE(AW$16,$E38,"_Code"),"Data!$BI$1:$BI$5"))))</f>
        <v>Data!$BI$1:$BI$5</v>
      </c>
      <c r="AX37" s="110" t="str">
        <f t="shared" ref="AX37" si="1008">IF($E38="H",IF($F37="Hybrid - Thrust + 2 connections","Hybrid_Mix_Req","HybridDD_Code"),IF($E38=3,"TreDD_Code",IF($E38="PA","AcroPair_Code",IF(LEFT($F37,4)="Acro",CONCATENATE(AX$16,$E38,"_Code"),"Data!$BI$1:$BI$5"))))</f>
        <v>Data!$BI$1:$BI$5</v>
      </c>
      <c r="AY37" s="110" t="str">
        <f t="shared" ref="AY37" si="1009">IF($E38="H",IF($F37="Hybrid - Thrust + 2 connections","Data!$BI$1:$BI$5","HybridDD_Code"),IF($E38=3,"Data!$BI$1:$BI$5",IF(LEFT($F37,4)="Acro",CONCATENATE(AY$16,$E38,"_Code"),IF($E38="PA","","Data!$BI$1:$BI$5"))))</f>
        <v>Data!$BI$1:$BI$5</v>
      </c>
      <c r="AZ37" s="110" t="str">
        <f t="shared" ref="AZ37" si="1010">IF($E38="H",IF($F37="Hybrid - Thrust + 2 connections","Data!$BI$1:$BI$5","HybridDD_Code"),IF($E38=3,"Data!$BI$1:$BI$5",IF(LEFT($F37,4)="Acro",CONCATENATE(AZ$16,$E38,"_Code"),IF($E38="PA","","Data!$BI$1:$BI$5"))))</f>
        <v>Data!$BI$1:$BI$5</v>
      </c>
      <c r="BA37" s="110" t="str">
        <f t="shared" ref="BA37" si="1011">IF($E38="H",IF($F37="Hybrid - Thrust + 2 connections","Data!$BI$1:$BI$5","HybridDD_Code"),IF($E38=3,"Data!$BI$1:$BI$5",IF(LEFT($F37,4)="Acro",CONCATENATE(BA$16,$E38,"_Code"),IF($E38="PA","","Data!$BI$1:$BI$5"))))</f>
        <v>Data!$BI$1:$BI$5</v>
      </c>
      <c r="BB37" s="110" t="str">
        <f t="shared" ref="BB37" si="1012">IF($E38="H",IF($F37="Hybrid - Thrust + 2 connections","Data!$BI$1:$BI$5","HybridDD_Code"),IF($E38=3,"Data!$BI$1:$BI$5",IF(LEFT($F37,4)="Acro",CONCATENATE(BB$16,$E38,"_Code"),IF($E38="PA","","Data!$BI$1:$BI$5"))))</f>
        <v>Data!$BI$1:$BI$5</v>
      </c>
      <c r="BC37" s="110" t="str">
        <f t="shared" ref="BC37" si="1013">IF($E38="H",IF($F37="Hybrid - Thrust + 2 connections","Data!$BI$1:$BI$5","HybridDD_Code"),IF($E38=3,"Data!$BI$1:$BI$5",IF(LEFT($F37,4)="Acro",CONCATENATE(BC$16,$E38,"_Code"),IF($E38="PA","","Data!$BI$1:$BI$5"))))</f>
        <v>Data!$BI$1:$BI$5</v>
      </c>
      <c r="BD37" s="110" t="str">
        <f t="shared" ref="BD37" si="1014">IF($E38="H",IF($F37="Hybrid - Thrust + 2 connections","Data!$BI$1:$BI$5","HybridDD_Code"),IF($E38=3,"Data!$BI$1:$BI$5",IF(LEFT($F37,4)="Acro",CONCATENATE(BD$16,$E38,"_Code"),IF($E38="PA","","Data!$BI$1:$BI$5"))))</f>
        <v>Data!$BI$1:$BI$5</v>
      </c>
      <c r="BE37" s="110" t="str">
        <f t="shared" ref="BE37" si="1015">IF($E38="H",IF($F37="Hybrid - Thrust + 2 connections","Data!$BI$1:$BI$5","HybridDD_Code"),"Data!$BI$1:$BI$5")</f>
        <v>Data!$BI$1:$BI$5</v>
      </c>
      <c r="BF37" s="110" t="str">
        <f t="shared" si="522"/>
        <v>Data!$BI$1:$BI$5</v>
      </c>
      <c r="BG37" s="110" t="str">
        <f t="shared" si="522"/>
        <v>Data!$BI$1:$BI$5</v>
      </c>
      <c r="BH37" s="110" t="str">
        <f t="shared" si="522"/>
        <v>Data!$BI$1:$BI$5</v>
      </c>
      <c r="BI37" s="110" t="str">
        <f t="shared" si="522"/>
        <v>Data!$BI$1:$BI$5</v>
      </c>
      <c r="BJ37" s="110" t="str">
        <f t="shared" si="522"/>
        <v>Data!$BI$1:$BI$5</v>
      </c>
      <c r="BK37" s="110" t="str">
        <f t="shared" si="522"/>
        <v>Data!$BI$1:$BI$5</v>
      </c>
      <c r="BL37" s="110" t="str">
        <f t="shared" si="522"/>
        <v>Data!$BI$1:$BI$5</v>
      </c>
      <c r="BM37" s="110" t="str">
        <f t="shared" si="522"/>
        <v>Data!$BI$1:$BI$5</v>
      </c>
      <c r="BN37" s="110" t="str">
        <f t="shared" si="522"/>
        <v>Data!$BI$1:$BI$5</v>
      </c>
      <c r="BO37" s="110" t="str">
        <f t="shared" si="522"/>
        <v>Data!$BI$1:$BI$5</v>
      </c>
      <c r="BP37" s="110"/>
      <c r="BQ37" s="110"/>
      <c r="BR37" s="113" t="str">
        <f t="shared" ref="BR37" si="1016">IFERROR(TIME(0,A37,B37),"")</f>
        <v/>
      </c>
      <c r="BS37" s="114">
        <f>IFERROR(TIME(0,C37,D37),"")</f>
        <v>0</v>
      </c>
      <c r="BT37" s="114" t="str">
        <f t="shared" ref="BT37" si="1017">IF(BS37&gt;$D$12,"X","")</f>
        <v/>
      </c>
      <c r="BU37" s="108" t="str">
        <f>IF(AND(F37="Hybrid - Thrust + 2 connections",OR(LEFT(J37,1)="T",LEFT(K37,1)="T",LEFT(L37,1)="T",LEFT(NG37,1)="T",LEFT(M37,1)="T",LEFT(N37,1)="T",LEFT(O37,1)="T",LEFT(P37,1)="T",LEFT(Q37,1)="T",LEFT(R37,1)="T",LEFT(S37,1)="T",LEFT(T37,1)="T",LEFT(U37,1)="T",LEFT(V37,1)="T",LEFT(W37,1)="T",LEFT(X37,1)="T",LEFT(AA37,1)="T",LEFT(AB37,1)="T",LEFT(AC37,1)="T")),IF(OR(LEN(J37)=2,LEN(K37)=2,LEN(L37)=2,LEN(M37)=2,LEN(N37)=2,LEN(O37)=2,LEN(P37)=2,LEN(Q37)=2,LEN(R37)=2,LEN(S37)=2,LEN(T37)=2,LEN(U37)=2,LEN(V37)=2,LEN(W37)=2,LEN(X37)=2,LEN(Y37)=2,LEN(Z37)=2,LEN(AA37)=2,LEN(AB37)=2,LEN(AC37)=2),"X",""),"")</f>
        <v/>
      </c>
      <c r="BW37" s="108" t="str">
        <f>IF(LEFT(F37,4)="Acro",IF(AND(N37&lt;&gt;"",M37=RIGHT(N37,2)),"X","OK"),"")</f>
        <v/>
      </c>
      <c r="BX37" s="110" t="str">
        <f t="shared" ref="BX37:CE37" si="1018">IFERROR(IF(AND(LEFT($F37,4)="Acro",INDEX(Requ_App,MATCH(AV37,Requ_Code,0))="No"),"X",""),"")</f>
        <v/>
      </c>
      <c r="BY37" s="110" t="str">
        <f t="shared" si="1018"/>
        <v/>
      </c>
      <c r="BZ37" s="110" t="str">
        <f t="shared" si="1018"/>
        <v/>
      </c>
      <c r="CA37" s="110" t="str">
        <f t="shared" si="1018"/>
        <v/>
      </c>
      <c r="CB37" s="110" t="str">
        <f t="shared" si="1018"/>
        <v/>
      </c>
      <c r="CC37" s="110" t="str">
        <f t="shared" si="1018"/>
        <v/>
      </c>
      <c r="CD37" s="110" t="str">
        <f t="shared" si="1018"/>
        <v/>
      </c>
      <c r="CE37" s="110" t="str">
        <f t="shared" si="1018"/>
        <v/>
      </c>
      <c r="CF37" s="110" t="str">
        <f>IFERROR(IF(AND(LEFT($F37,4)="Acro",INDEX(Requ_App,MATCH(BC37,Requ_Code,0))="No"),"X",""),"")</f>
        <v/>
      </c>
      <c r="CG37" s="108" t="str">
        <f t="shared" si="9"/>
        <v/>
      </c>
      <c r="CH37" s="108" t="str">
        <f t="shared" si="10"/>
        <v/>
      </c>
      <c r="CI37" s="108" t="str">
        <f t="shared" si="11"/>
        <v/>
      </c>
      <c r="CJ37" s="108" t="str">
        <f t="shared" si="12"/>
        <v/>
      </c>
      <c r="CN37" s="108">
        <f t="shared" ref="CN37" si="1019">IF(AND(E38="A",OR(Q37="Grip",Q37="Conn",Q37="Catch")),"A1",IF(AND(E38="A",OR(Q37="Hula",Q37="RetSq",Q37="RetPa")),"A2",IF(AND(E38="B",OR(Q37="Twirl",Q37="RotF")),"B1",IF(AND(E38="B",OR(Q37="Moon",Q37="Mov")),"B2",IF(AND(E38="B",Q37="Hold"),"B3",IF(AND(E38="P",OR(Q37="Porp",Q37="Spitch")),"P1",IF(AND(E38="P",OR(Q37="Dive",Q37="Ps1",Q37="Ps1t0.5",Q37="Ps1op",Q37="Ps1t0,5o",Q37="Ps1t1",Q37="CH+")),"P2",IF(AND(E38="P",OR(Q37="Spider",Q37="Climb")),"P3",IF(AND(E38="P",OR(Q37="Fall",Q37="FTurn")),"P4",IF(AND(E38="C",OR(Q37="Jump",Q37="Jump&gt;",Q37="On1Foot",Q37="1F&gt;1F")),"C1",IF(AND(E38="C",OR(Q37="Run",Q37="BRun")),"C2",1)))))))))))</f>
        <v>1</v>
      </c>
      <c r="CO37" s="108">
        <f t="shared" ref="CO37" si="1020">IF(AND(E38="A",OR(R37="Grip",R37="Conn",R37="Catch")),"A1",IF(AND(E38="A",OR(R37="Hula",R37="RetSq",R37="RetPa")),"A2",IF(AND(E38="B",OR(R37="Twirl",R37="RotF")),"B1",IF(AND(E38="B",OR(R37="Moon",R37="Mov")),"B3",IF(AND(E38="B",R37="Hold"),"B2",IF(AND(E38="P",OR(R37="Porp",R37="Spitch")),"P1",IF(AND(E38="P",OR(R37="Dive",R37="Ps1",R37="Ps1t0.5",R37="Ps1op",R37="Ps1t0,5o",R37="Ps1t1",R37="CH+")),"P2",IF(AND(E38="P",OR(R37="Spider",R37="Climb")),"P3",IF(AND(E38="P",OR(R37="Fall",R37="FTurn")),"P4",IF(AND(E38="C",OR(R37="Jump",R37="Jump&gt;",R37="On1Foot",R37="1F&gt;1F")),"C1",IF(AND(E38="C",OR(R37="Run",R37="BRun")),"C2",2)))))))))))</f>
        <v>2</v>
      </c>
      <c r="CP37" s="108" t="str">
        <f t="shared" ref="CP37" si="1021">IF(AND(LEFT(F37,4)="Acro",Q37&lt;&gt;"",OR(Q37=R37,CN37=CO37)),IF(R37="C-Roll","","X"),IF(OR(AND(E38="A",Q37="Catch",R37&lt;&gt;"Dbl"),AND(E38="A",R37="Catch",Q37&lt;&gt;"Dbl")),"X",""))</f>
        <v/>
      </c>
      <c r="CQ37" s="108" t="str">
        <f t="shared" ref="CQ37" si="1022">IF(E38="PA",J37,"")</f>
        <v/>
      </c>
      <c r="CR37" s="108">
        <v>19</v>
      </c>
      <c r="CT37" s="108" t="str">
        <f t="shared" ref="CT37" si="1023">IF(AND($E38="A",COUNTIF($DC$19:$DD$68,DC37)&gt;1),DC37,"")</f>
        <v/>
      </c>
      <c r="CU37" s="108" t="str">
        <f t="shared" ref="CU37" si="1024">IF(AND($E38="A",COUNTIF($DC$19:$DD$68,DD37)&gt;1),DD37,"")</f>
        <v/>
      </c>
      <c r="CV37" s="108" t="str">
        <f t="shared" ref="CV37" ca="1" si="1025">IF(AND($E38="B",COUNTIF($J$19:$J$68,J37)&gt;1),J37,"")</f>
        <v/>
      </c>
      <c r="CW37" s="108" t="str">
        <f t="shared" ref="CW37" ca="1" si="1026">IF(AND($E38="B",COUNTIF($K$19:$K$68,K37)&gt;1),K37,"")</f>
        <v/>
      </c>
      <c r="CX37" s="108" t="str">
        <f t="shared" ref="CX37" ca="1" si="1027">IF(AND($E38="C",COUNTIF($J$19:$J$68,J37)&gt;1),J37,"")</f>
        <v/>
      </c>
      <c r="CY37" s="108" t="str">
        <f t="shared" ref="CY37" ca="1" si="1028">IF(AND($E38="P",COUNTIF($J$19:$J$68,J37)&gt;1),J37,"")</f>
        <v/>
      </c>
      <c r="CZ37" s="108" t="str">
        <f t="shared" ref="CZ37" ca="1" si="1029">IF(AND($E38="P",COUNTIF($K$19:$K$68,K37)&gt;1),K37,"")</f>
        <v/>
      </c>
      <c r="DA37" s="108" t="str">
        <f t="shared" ref="DA37" si="1030">IF(AND($E38="P",COUNTIF($DC$19:$DD$68,DC37)&gt;1),DC37,"")</f>
        <v/>
      </c>
      <c r="DB37" s="108" t="str">
        <f t="shared" ref="DB37" si="1031">IF(AND($E38="P",COUNTIF($DC$19:$DD$68,DD37)&gt;1),DD37,"")</f>
        <v/>
      </c>
      <c r="DC37" s="108" t="str">
        <f t="shared" ref="DC37" si="1032">IFERROR(IF(OR(E38="A",E38="P"),M37,""),"")</f>
        <v/>
      </c>
      <c r="DD37" s="108" t="str">
        <f t="shared" ref="DD37" si="1033">IFERROR(IF(OR(E38="A",E38="P"),RIGHT(N37,2),""),"")</f>
        <v/>
      </c>
      <c r="DF37" s="108" t="str">
        <f t="shared" ref="DF37" si="1034">IF(AND($F$8="Open Team Acrobatic",LEFT(F37,4)="Acro"),E38,"")</f>
        <v/>
      </c>
      <c r="DG37" s="108" t="str">
        <f t="shared" ref="DG37" si="1035">IFERROR(IF(HLOOKUP(DF37,$DD$12:$DG$13,2,FALSE)&gt;2,"X",""),"")</f>
        <v/>
      </c>
      <c r="DI37" s="108" t="str">
        <f t="shared" ref="DI37" si="1036">IF(OR(AND(F37="Hybrid - Thrust + 2 connections",DI38="T"),AND(F37="Hybrid - Free",DI38&lt;&gt;"")),"X","")</f>
        <v/>
      </c>
      <c r="DK37" s="108">
        <f t="shared" ref="DK37" si="1037">IFERROR(IF(AND($E38="H",J37&lt;&gt;""),IF(OR(LEFT(J37,1)="T",LEFT(J37,1)="S",LEFT(J37,1)="A",LEFT(J37,1)="F",LEFT(J37,1)="C"),LEFT(J37,1),"R"),DK$18),"")</f>
        <v>1</v>
      </c>
      <c r="DL37" s="108">
        <f t="shared" ref="DL37" si="1038">IFERROR(IF(AND($E38="H",K37&lt;&gt;""),IF(OR(LEFT(K37,1)="T",LEFT(K37,1)="S",LEFT(K37,1)="A",LEFT(K37,1)="F",LEFT(K37,1)="C"),LEFT(K37,1),"R"),DL$18),"")</f>
        <v>2</v>
      </c>
      <c r="DM37" s="108">
        <f t="shared" ref="DM37" si="1039">IFERROR(IF(AND($E38="H",L37&lt;&gt;""),IF(OR(LEFT(L37,1)="T",LEFT(L37,1)="S",LEFT(L37,1)="A",LEFT(L37,1)="F",LEFT(L37,1)="C"),LEFT(L37,1),"R"),DM$18),"")</f>
        <v>3</v>
      </c>
      <c r="DN37" s="108">
        <f t="shared" ref="DN37" si="1040">IFERROR(IF(AND($E38="H",M37&lt;&gt;""),IF(OR(LEFT(M37,1)="T",LEFT(M37,1)="S",LEFT(M37,1)="A",LEFT(M37,1)="F",LEFT(M37,1)="C"),LEFT(M37,1),"R"),DN$18),"")</f>
        <v>4</v>
      </c>
      <c r="DO37" s="108">
        <f t="shared" ref="DO37" si="1041">IFERROR(IF(AND($E38="H",N37&lt;&gt;""),IF(OR(LEFT(N37,1)="T",LEFT(N37,1)="S",LEFT(N37,1)="A",LEFT(N37,1)="F",LEFT(N37,1)="C"),LEFT(N37,1),"R"),DO$18),"")</f>
        <v>5</v>
      </c>
      <c r="DP37" s="108">
        <f t="shared" ref="DP37" si="1042">IFERROR(IF(AND($E38="H",O37&lt;&gt;""),IF(OR(LEFT(O37,1)="T",LEFT(O37,1)="S",LEFT(O37,1)="A",LEFT(O37,1)="F",LEFT(O37,1)="C"),LEFT(O37,1),"R"),DP$18),"")</f>
        <v>6</v>
      </c>
      <c r="DQ37" s="108">
        <f t="shared" ref="DQ37" si="1043">IFERROR(IF(AND($E38="H",P37&lt;&gt;""),IF(OR(LEFT(P37,1)="T",LEFT(P37,1)="S",LEFT(P37,1)="A",LEFT(P37,1)="F",LEFT(P37,1)="C"),LEFT(P37,1),"R"),DQ$18),"")</f>
        <v>7</v>
      </c>
      <c r="DR37" s="108">
        <f t="shared" ref="DR37" si="1044">IFERROR(IF(AND($E38="H",Q37&lt;&gt;""),IF(OR(LEFT(Q37,1)="T",LEFT(Q37,1)="S",LEFT(Q37,1)="A",LEFT(Q37,1)="F",LEFT(Q37,1)="C"),LEFT(Q37,1),"R"),DR$18),"")</f>
        <v>8</v>
      </c>
      <c r="DS37" s="108">
        <f t="shared" ref="DS37" si="1045">IFERROR(IF(AND($E38="H",R37&lt;&gt;""),IF(OR(LEFT(R37,1)="T",LEFT(R37,1)="S",LEFT(R37,1)="A",LEFT(R37,1)="F",LEFT(R37,1)="C"),LEFT(R37,1),"R"),DS$18),"")</f>
        <v>9</v>
      </c>
      <c r="DT37" s="108">
        <f t="shared" ref="DT37" si="1046">IFERROR(IF(AND($E38="H",S37&lt;&gt;""),IF(OR(LEFT(S37,1)="T",LEFT(S37,1)="S",LEFT(S37,1)="A",LEFT(S37,1)="F",LEFT(S37,1)="C"),LEFT(S37,1),"R"),DT$18),"")</f>
        <v>10</v>
      </c>
      <c r="DU37" s="108">
        <f t="shared" ref="DU37" si="1047">IFERROR(IF(AND($E38="H",T37&lt;&gt;""),IF(OR(LEFT(T37,1)="T",LEFT(T37,1)="S",LEFT(T37,1)="A",LEFT(T37,1)="F",LEFT(T37,1)="C"),LEFT(T37,1),"R"),DU$18),"")</f>
        <v>11</v>
      </c>
      <c r="DV37" s="108">
        <f t="shared" ref="DV37" si="1048">IFERROR(IF(AND($E38="H",U37&lt;&gt;""),IF(OR(LEFT(U37,1)="T",LEFT(U37,1)="S",LEFT(U37,1)="A",LEFT(U37,1)="F",LEFT(U37,1)="C"),LEFT(U37,1),"R"),DV$18),"")</f>
        <v>12</v>
      </c>
      <c r="DW37" s="108">
        <f t="shared" ref="DW37" si="1049">IFERROR(IF(AND($E38="H",V37&lt;&gt;""),IF(OR(LEFT(V37,1)="T",LEFT(V37,1)="S",LEFT(V37,1)="A",LEFT(V37,1)="F",LEFT(V37,1)="C"),LEFT(V37,1),"R"),DW$18),"")</f>
        <v>13</v>
      </c>
      <c r="DX37" s="108">
        <f t="shared" ref="DX37" si="1050">IFERROR(IF(AND($E38="H",W37&lt;&gt;""),IF(OR(LEFT(W37,1)="T",LEFT(W37,1)="S",LEFT(W37,1)="A",LEFT(W37,1)="F",LEFT(W37,1)="C"),LEFT(W37,1),"R"),DX$18),"")</f>
        <v>14</v>
      </c>
      <c r="DY37" s="108">
        <f t="shared" ref="DY37" si="1051">IFERROR(IF(AND($E38="H",X37&lt;&gt;""),IF(OR(LEFT(X37,1)="T",LEFT(X37,1)="S",LEFT(X37,1)="A",LEFT(X37,1)="F",LEFT(X37,1)="C"),LEFT(X37,1),"R"),DY$18),"")</f>
        <v>15</v>
      </c>
      <c r="DZ37" s="108">
        <f t="shared" ref="DZ37" si="1052">IFERROR(IF(AND($E38="H",Y37&lt;&gt;""),IF(OR(LEFT(Y37,1)="T",LEFT(Y37,1)="S",LEFT(Y37,1)="A",LEFT(Y37,1)="F",LEFT(Y37,1)="C"),LEFT(Y37,1),"R"),DZ$18),"")</f>
        <v>16</v>
      </c>
      <c r="EA37" s="108">
        <f t="shared" ref="EA37" si="1053">IFERROR(IF(AND($E38="H",Z37&lt;&gt;""),IF(OR(LEFT(Z37,1)="T",LEFT(Z37,1)="S",LEFT(Z37,1)="A",LEFT(Z37,1)="F",LEFT(Z37,1)="C"),LEFT(Z37,1),"R"),EA$18),"")</f>
        <v>17</v>
      </c>
      <c r="EB37" s="108">
        <f t="shared" ref="EB37" si="1054">IFERROR(IF(AND($E38="H",AA37&lt;&gt;""),IF(OR(LEFT(AA37,1)="T",LEFT(AA37,1)="S",LEFT(AA37,1)="A",LEFT(AA37,1)="F",LEFT(AA37,1)="C"),LEFT(AA37,1),"R"),EB$18),"")</f>
        <v>18</v>
      </c>
      <c r="EC37" s="108">
        <f t="shared" ref="EC37" si="1055">IFERROR(IF(AND($E38="H",AB37&lt;&gt;""),IF(OR(LEFT(AB37,1)="T",LEFT(AB37,1)="S",LEFT(AB37,1)="A",LEFT(AB37,1)="F",LEFT(AB37,1)="C"),LEFT(AB37,1),"R"),EC$18),"")</f>
        <v>19</v>
      </c>
      <c r="ED37" s="108">
        <f t="shared" ref="ED37" si="1056">IFERROR(IF(AND($E38="H",AC37&lt;&gt;""),IF(OR(LEFT(AC37,1)="T",LEFT(AC37,1)="S",LEFT(AC37,1)="A",LEFT(AC37,1)="F",LEFT(AC37,1)="C"),LEFT(AC37,1),"R"),ED$18),"")</f>
        <v>20</v>
      </c>
      <c r="EE37" s="108"/>
      <c r="EF37" s="108"/>
      <c r="EG37" s="108">
        <f t="shared" ref="EG37:EZ37" si="1057">IFERROR(IF(J37&lt;&gt;"",UPPER(J37),EG$18),EG$18)</f>
        <v>1</v>
      </c>
      <c r="EH37" s="108">
        <f t="shared" si="1057"/>
        <v>2</v>
      </c>
      <c r="EI37" s="108">
        <f t="shared" si="1057"/>
        <v>3</v>
      </c>
      <c r="EJ37" s="108">
        <f t="shared" si="1057"/>
        <v>4</v>
      </c>
      <c r="EK37" s="108">
        <f t="shared" si="1057"/>
        <v>5</v>
      </c>
      <c r="EL37" s="108">
        <f t="shared" si="1057"/>
        <v>6</v>
      </c>
      <c r="EM37" s="108">
        <f t="shared" si="1057"/>
        <v>7</v>
      </c>
      <c r="EN37" s="108">
        <f t="shared" si="1057"/>
        <v>8</v>
      </c>
      <c r="EO37" s="108">
        <f t="shared" si="1057"/>
        <v>9</v>
      </c>
      <c r="EP37" s="108">
        <f t="shared" si="1057"/>
        <v>10</v>
      </c>
      <c r="EQ37" s="108">
        <f t="shared" si="1057"/>
        <v>11</v>
      </c>
      <c r="ER37" s="108">
        <f t="shared" si="1057"/>
        <v>12</v>
      </c>
      <c r="ES37" s="108">
        <f t="shared" si="1057"/>
        <v>13</v>
      </c>
      <c r="ET37" s="108">
        <f t="shared" si="1057"/>
        <v>14</v>
      </c>
      <c r="EU37" s="108">
        <f t="shared" si="1057"/>
        <v>15</v>
      </c>
      <c r="EV37" s="108">
        <f t="shared" si="1057"/>
        <v>16</v>
      </c>
      <c r="EW37" s="108">
        <f t="shared" si="1057"/>
        <v>17</v>
      </c>
      <c r="EX37" s="108">
        <f t="shared" si="1057"/>
        <v>18</v>
      </c>
      <c r="EY37" s="108">
        <f t="shared" si="1057"/>
        <v>19</v>
      </c>
      <c r="EZ37" s="108">
        <f t="shared" si="1057"/>
        <v>20</v>
      </c>
      <c r="FA37" s="108"/>
      <c r="FB37" s="108">
        <f t="shared" ref="FB37" si="1058">COUNTIF($DK37:$ED37,FB$18)</f>
        <v>0</v>
      </c>
      <c r="FC37" s="108">
        <f t="shared" si="934"/>
        <v>0</v>
      </c>
      <c r="FD37" s="108">
        <f t="shared" si="934"/>
        <v>0</v>
      </c>
      <c r="FE37" s="108">
        <f t="shared" si="934"/>
        <v>0</v>
      </c>
      <c r="FF37" s="108">
        <f t="shared" si="934"/>
        <v>0</v>
      </c>
      <c r="FG37" s="108">
        <f t="shared" si="934"/>
        <v>0</v>
      </c>
      <c r="FH37" s="108"/>
      <c r="FI37" s="108" t="str">
        <f t="shared" ref="FI37" si="1059">IF(AND($F37="Hybrid - Thrust + 2 connections",FI38=0,LEFT($J37,1)="C",LEFT($K37,1)="C",LEFT($L37,1)="C"),"X","")</f>
        <v/>
      </c>
      <c r="FJ37" s="108"/>
      <c r="FL37" s="120" t="e">
        <f>IF(OR(LEFT(#REF!,2)="PL",LEFT(#REF!,2)="PL",LEFT(#REF!,2)="PL",LEFT(#REF!,2)="PL",LEFT(#REF!,2)="PL"),IF($BS$17-BR37&gt;$FL$17,"X",""),"")</f>
        <v>#REF!</v>
      </c>
      <c r="FM37" s="120"/>
      <c r="FN37" s="111" t="str">
        <f>IF(E38=3,_xlfn.NUMBERVALUE(LEFT(J37,1)),"")</f>
        <v/>
      </c>
    </row>
    <row r="38" spans="1:170" x14ac:dyDescent="0.3">
      <c r="A38" s="40"/>
      <c r="B38" s="41"/>
      <c r="C38" s="41"/>
      <c r="D38" s="41"/>
      <c r="E38" s="21" t="str">
        <f>IF(F37="Acrobatic - Pair","PA",IF(F37="Acrobatic Airborn","A",IF(F37="Acrobatic Balance","B",IF(F37="Acrobatic Combined","C",IF(F37="Acrobatic Platform","P",IF(F37="Technical Required Element",3,IF(LEFT(F37,4)="Hybr","H","")))))))</f>
        <v/>
      </c>
      <c r="F38" s="21" t="str">
        <f>IF(AND(F37="Hybrid - Thrust + 2 connections",BU37="X"),"Hybrid - Thrust",IF(OR(E38="A",E38="B",E38="C",E38="P"),"Acrobatic",""))</f>
        <v/>
      </c>
      <c r="G38" s="43"/>
      <c r="H38" s="222" t="str">
        <f t="shared" ref="H38" si="1060">IF(E38="PA",IF(OR(LEFT(J37,1)="L",LEFT(J37,1)="S"),"A-Pair-Lift",IF(OR(LEFT(J37,1)="W",LEFT(J37,1)="T"),"A-Pair-Throw",IF(LEFT(J37,1)="J","A-Pair-Jump","A-Pair"))),IF(OR(E38="A",E38="B",E38="C",E38="P"),CONCATENATE("Acro-",E38),""))</f>
        <v/>
      </c>
      <c r="I38" s="216" t="e">
        <f t="shared" ref="I38" si="1061">IF(OR(F37="Hybrid - min 4 swimmers (no DD)",LEFT(F37,5)="Trans"),0,INDEX($BV$3:$BV$9,MATCH(E38,$BU$3:$BU$9,0)))</f>
        <v>#N/A</v>
      </c>
      <c r="J38" s="210">
        <f t="shared" ref="J38" ca="1" si="1062">IFERROR(IF($H37="No DD",0,IF(OR(ISBLANK(J37),J37="N/A"),0,INDEX(INDIRECT(AV38),MATCH(J37,INDIRECT(AV37),0)))),0)</f>
        <v>0</v>
      </c>
      <c r="K38" s="210">
        <f t="shared" ref="K38" ca="1" si="1063">IFERROR(IF($H37="No DD",0,IF(OR(ISBLANK(K37),K37="N/A"),0,INDEX(INDIRECT(AW38),MATCH(K37,INDIRECT(AW37),0)))),0)</f>
        <v>0</v>
      </c>
      <c r="L38" s="210">
        <f t="shared" ref="L38" ca="1" si="1064">IFERROR(IF($H37="No DD",0,IF(OR(ISBLANK(L37),L37="N/A"),0,INDEX(INDIRECT(AX38),MATCH(L37,INDIRECT(AX37),0)))),0)</f>
        <v>0</v>
      </c>
      <c r="M38" s="210">
        <f t="shared" ref="M38" ca="1" si="1065">IFERROR(IF($H37="No DD",0,IF(OR(ISBLANK(M37),M37="N/A"),0,INDEX(INDIRECT(AY38),MATCH(M37,INDIRECT(AY37),0)))),0)</f>
        <v>0</v>
      </c>
      <c r="N38" s="210">
        <f t="shared" ref="N38" ca="1" si="1066">IFERROR(IF($H37="No DD",0,IF(OR(ISBLANK(N37),N37="N/A"),0,INDEX(INDIRECT(AZ38),MATCH(N37,INDIRECT(AZ37),0)))),0)</f>
        <v>0</v>
      </c>
      <c r="O38" s="210">
        <f t="shared" ref="O38" ca="1" si="1067">IFERROR(IF($H37="No DD",0,IF(OR(ISBLANK(O37),O37="N/A"),0,INDEX(INDIRECT(BA38),MATCH(O37,INDIRECT(BA37),0)))),0)</f>
        <v>0</v>
      </c>
      <c r="P38" s="210">
        <f t="shared" ref="P38" ca="1" si="1068">IFERROR(IF($H37="No DD",0,IF(OR(ISBLANK(P37),P37="N/A"),0,INDEX(INDIRECT(BB38),MATCH(P37,INDIRECT(BB37),0)))),0)</f>
        <v>0</v>
      </c>
      <c r="Q38" s="210">
        <f t="shared" ref="Q38" ca="1" si="1069">IFERROR(IF($H37="No DD",0,IF(OR(ISBLANK(Q37),Q37="N/A"),0,INDEX(INDIRECT(BC38),MATCH(Q37,INDIRECT(BC37),0)))),0)</f>
        <v>0</v>
      </c>
      <c r="R38" s="210">
        <f t="shared" ref="R38" ca="1" si="1070">IFERROR(IF($H37="No DD",0,IF(OR(ISBLANK(R37),R37="N/A"),0,INDEX(INDIRECT(BD38),MATCH(R37,INDIRECT(BD37),0)))),0)</f>
        <v>0</v>
      </c>
      <c r="S38" s="210">
        <f t="shared" ref="S38" ca="1" si="1071">IFERROR(IF($H37="No DD",0,IF(OR(ISBLANK(S37),S37="N/A"),0,INDEX(INDIRECT(BE38),MATCH(S37,INDIRECT(BE37),0)))),0)</f>
        <v>0</v>
      </c>
      <c r="T38" s="210">
        <f t="shared" ref="T38" ca="1" si="1072">IFERROR(IF($H37="No DD",0,IF(OR(ISBLANK(T37),T37="N/A"),0,INDEX(INDIRECT(BF38),MATCH(T37,INDIRECT(BF37),0)))),0)</f>
        <v>0</v>
      </c>
      <c r="U38" s="210">
        <f t="shared" ref="U38" ca="1" si="1073">IFERROR(IF($H37="No DD",0,IF(OR(ISBLANK(U37),U37="N/A"),0,INDEX(INDIRECT(BG38),MATCH(U37,INDIRECT(BG37),0)))),0)</f>
        <v>0</v>
      </c>
      <c r="V38" s="210">
        <f t="shared" ref="V38" ca="1" si="1074">IFERROR(IF($H37="No DD",0,IF(OR(ISBLANK(V37),V37="N/A"),0,INDEX(INDIRECT(BH38),MATCH(V37,INDIRECT(BH37),0)))),0)</f>
        <v>0</v>
      </c>
      <c r="W38" s="210">
        <f t="shared" ref="W38" ca="1" si="1075">IFERROR(IF($H37="No DD",0,IF(OR(ISBLANK(W37),W37="N/A"),0,INDEX(INDIRECT(BI38),MATCH(W37,INDIRECT(BI37),0)))),0)</f>
        <v>0</v>
      </c>
      <c r="X38" s="210">
        <f t="shared" ref="X38" ca="1" si="1076">IFERROR(IF($H37="No DD",0,IF(OR(ISBLANK(X37),X37="N/A"),0,INDEX(INDIRECT(BJ38),MATCH(X37,INDIRECT(BJ37),0)))),0)</f>
        <v>0</v>
      </c>
      <c r="Y38" s="210">
        <f t="shared" ref="Y38" ca="1" si="1077">IFERROR(IF($H37="No DD",0,IF(OR(ISBLANK(Y37),Y37="N/A"),0,INDEX(INDIRECT(BK38),MATCH(Y37,INDIRECT(BK37),0)))),0)</f>
        <v>0</v>
      </c>
      <c r="Z38" s="210">
        <f t="shared" ref="Z38" ca="1" si="1078">IFERROR(IF($H37="No DD",0,IF(OR(ISBLANK(Z37),Z37="N/A"),0,INDEX(INDIRECT(BL38),MATCH(Z37,INDIRECT(BL37),0)))),0)</f>
        <v>0</v>
      </c>
      <c r="AA38" s="210">
        <f t="shared" ref="AA38" ca="1" si="1079">IFERROR(IF($H37="No DD",0,IF(OR(ISBLANK(AA37),AA37="N/A"),0,INDEX(INDIRECT(BM38),MATCH(AA37,INDIRECT(BM37),0)))),0)</f>
        <v>0</v>
      </c>
      <c r="AB38" s="210">
        <f t="shared" ref="AB38" ca="1" si="1080">IFERROR(IF($H37="No DD",0,IF(OR(ISBLANK(AB37),AB37="N/A"),0,INDEX(INDIRECT(BN38),MATCH(AB37,INDIRECT(BN37),0)))),0)</f>
        <v>0</v>
      </c>
      <c r="AC38" s="210">
        <f t="shared" ref="AC38" ca="1" si="1081">IFERROR(IF($H37="No DD",0,IF(OR(ISBLANK(AC37),AC37="N/A"),0,INDEX(INDIRECT(BO38),MATCH(AC37,INDIRECT(BO37),0)))),0)</f>
        <v>0</v>
      </c>
      <c r="AD38" s="211" t="str">
        <f>IFERROR(IF(E38="H",INDEX(HybridBonus_Value,MATCH(AD37,HybridBonus_Code,0)),""),"")</f>
        <v/>
      </c>
      <c r="AE38" s="209" t="str">
        <f t="shared" ref="AE38" si="1082">IFERROR(IF(J37&lt;&gt;"",SUM(I38:AD38),""),"")</f>
        <v/>
      </c>
      <c r="AF38" s="76"/>
      <c r="AG38" s="76"/>
      <c r="AH38" s="121"/>
      <c r="AI38" s="121"/>
      <c r="AJ38" s="121"/>
      <c r="AK38" s="121"/>
      <c r="AL38" s="121"/>
      <c r="AM38" s="121"/>
      <c r="AN38" s="121"/>
      <c r="AO38" s="121"/>
      <c r="AP38" s="121"/>
      <c r="AQ38" s="121"/>
      <c r="AR38" s="121"/>
      <c r="AS38" s="121"/>
      <c r="AT38" s="110"/>
      <c r="AU38" s="121"/>
      <c r="AV38" s="111" t="str">
        <f t="shared" ref="AV38" si="1083">IF($E38="H","HybridDD_Value",IF($E38=3,"TreDD_Value",IF($E38="PA","AcroPair_Value",IF(LEFT($F37,4)="Acro",CONCATENATE(AV$16,$E38,"_Value"),""))))</f>
        <v/>
      </c>
      <c r="AW38" s="111" t="str">
        <f t="shared" ref="AW38:AX38" si="1084">IF($E38="H","HybridDD_Value",IF($E38=3,"",IF(LEFT($F37,4)="Acro",CONCATENATE(AW$16,$E38,"_Value"),IF($E38="PA","",""))))</f>
        <v/>
      </c>
      <c r="AX38" s="111" t="str">
        <f t="shared" si="1084"/>
        <v/>
      </c>
      <c r="AY38" s="111" t="str">
        <f t="shared" ref="AY38:BD38" si="1085">IF($E38="H","HybridDD_Value",IF($E38=3,"",IF(LEFT($F37,4)="Acro",CONCATENATE(AY$16,$E38,"_Value"),IF($E38="PA","",""))))</f>
        <v/>
      </c>
      <c r="AZ38" s="111" t="str">
        <f t="shared" si="1085"/>
        <v/>
      </c>
      <c r="BA38" s="111" t="str">
        <f t="shared" si="1085"/>
        <v/>
      </c>
      <c r="BB38" s="111" t="str">
        <f t="shared" si="1085"/>
        <v/>
      </c>
      <c r="BC38" s="111" t="str">
        <f t="shared" si="1085"/>
        <v/>
      </c>
      <c r="BD38" s="111" t="str">
        <f t="shared" si="1085"/>
        <v/>
      </c>
      <c r="BE38" s="110" t="str">
        <f t="shared" ref="BE38" si="1086">IF($E38="H","HybridDD_Value","Data!$BI$1:$BI$5")</f>
        <v>Data!$BI$1:$BI$5</v>
      </c>
      <c r="BF38" s="110" t="str">
        <f t="shared" si="522"/>
        <v>Data!$BI$1:$BI$5</v>
      </c>
      <c r="BG38" s="110" t="str">
        <f t="shared" si="522"/>
        <v>Data!$BI$1:$BI$5</v>
      </c>
      <c r="BH38" s="110" t="str">
        <f t="shared" si="522"/>
        <v>Data!$BI$1:$BI$5</v>
      </c>
      <c r="BI38" s="110" t="str">
        <f t="shared" si="522"/>
        <v>Data!$BI$1:$BI$5</v>
      </c>
      <c r="BJ38" s="110" t="str">
        <f t="shared" si="522"/>
        <v>Data!$BI$1:$BI$5</v>
      </c>
      <c r="BK38" s="110" t="str">
        <f t="shared" si="522"/>
        <v>Data!$BI$1:$BI$5</v>
      </c>
      <c r="BL38" s="110" t="str">
        <f t="shared" si="522"/>
        <v>Data!$BI$1:$BI$5</v>
      </c>
      <c r="BM38" s="110" t="str">
        <f t="shared" si="522"/>
        <v>Data!$BI$1:$BI$5</v>
      </c>
      <c r="BN38" s="110" t="str">
        <f t="shared" si="522"/>
        <v>Data!$BI$1:$BI$5</v>
      </c>
      <c r="BO38" s="110" t="str">
        <f t="shared" si="522"/>
        <v>Data!$BI$1:$BI$5</v>
      </c>
      <c r="BP38" s="121"/>
      <c r="BQ38" s="121"/>
      <c r="BR38" s="122" t="str">
        <f>IFERROR(IF(AND($BS$6="T",$BS$8="T",LEFT(F37,4)="Acro",AE38&gt;3),"X",IF($N$7="X",IF(AND(E38="C",AE38&gt;$CA$6),"X",IF(AND(E38="A",AE38&gt;$CA$4),"X",IF(AND(E38="B",AE38&gt;$CA$5),"X",IF(AND(E38="P",AE38&gt;$CA$7),"X","")))),"")),"")</f>
        <v/>
      </c>
      <c r="BS38" s="114"/>
      <c r="BU38" s="108"/>
      <c r="CA38" s="111"/>
      <c r="CB38" s="111"/>
      <c r="CC38" s="111"/>
      <c r="CG38" s="108" t="str">
        <f t="shared" si="9"/>
        <v/>
      </c>
      <c r="CH38" s="108" t="str">
        <f t="shared" si="10"/>
        <v/>
      </c>
      <c r="CI38" s="108" t="str">
        <f t="shared" si="11"/>
        <v/>
      </c>
      <c r="CJ38" s="108" t="str">
        <f t="shared" si="12"/>
        <v/>
      </c>
      <c r="CR38" s="108">
        <v>20</v>
      </c>
      <c r="DI38" s="108" t="str" cm="1">
        <f t="array" ref="DI38">IFERROR(INDEX(DK38:ED38,MATCH(TRUE,INDEX((DK38:ED38&lt;&gt;""),),0)),"")</f>
        <v/>
      </c>
      <c r="DK38" s="108" t="str">
        <f t="shared" ref="DK38" si="1087">IF(F37="Hybrid - Thrust + 2 connections",IF(COUNTIF($DK37:$ED37,DK37)&gt;1,DK37,""),IF(COUNTIF($DK37:$ED37,DK37)&gt;5,DK37,""))</f>
        <v/>
      </c>
      <c r="DL38" s="108" t="str">
        <f t="shared" ref="DL38" si="1088">IF(G37="Hybrid - Thrust + 2 connections",IF(COUNTIF($DK37:$ED37,DL37)&gt;1,DL37,""),IF(COUNTIF($DK37:$ED37,DL37)&gt;5,DL37,""))</f>
        <v/>
      </c>
      <c r="DM38" s="108" t="str">
        <f t="shared" ref="DM38" si="1089">IF(H37="Hybrid - Thrust + 2 connections",IF(COUNTIF($DK37:$ED37,DM37)&gt;1,DM37,""),IF(COUNTIF($DK37:$ED37,DM37)&gt;5,DM37,""))</f>
        <v/>
      </c>
      <c r="DN38" s="108" t="str">
        <f t="shared" ref="DN38" si="1090">IF(I37="Hybrid - Thrust + 2 connections",IF(COUNTIF($DK37:$ED37,DN37)&gt;1,DN37,""),IF(COUNTIF($DK37:$ED37,DN37)&gt;5,DN37,""))</f>
        <v/>
      </c>
      <c r="DO38" s="108" t="str">
        <f t="shared" ref="DO38" si="1091">IF(J37="Hybrid - Thrust + 2 connections",IF(COUNTIF($DK37:$ED37,DO37)&gt;1,DO37,""),IF(COUNTIF($DK37:$ED37,DO37)&gt;5,DO37,""))</f>
        <v/>
      </c>
      <c r="DP38" s="108" t="str">
        <f t="shared" ref="DP38" si="1092">IF(K37="Hybrid - Thrust + 2 connections",IF(COUNTIF($DK37:$ED37,DP37)&gt;1,DP37,""),IF(COUNTIF($DK37:$ED37,DP37)&gt;5,DP37,""))</f>
        <v/>
      </c>
      <c r="DQ38" s="108" t="str">
        <f t="shared" ref="DQ38" si="1093">IF(L37="Hybrid - Thrust + 2 connections",IF(COUNTIF($DK37:$ED37,DQ37)&gt;1,DQ37,""),IF(COUNTIF($DK37:$ED37,DQ37)&gt;5,DQ37,""))</f>
        <v/>
      </c>
      <c r="DR38" s="108" t="str">
        <f t="shared" ref="DR38" si="1094">IF(M37="Hybrid - Thrust + 2 connections",IF(COUNTIF($DK37:$ED37,DR37)&gt;1,DR37,""),IF(COUNTIF($DK37:$ED37,DR37)&gt;5,DR37,""))</f>
        <v/>
      </c>
      <c r="DS38" s="108" t="str">
        <f t="shared" ref="DS38" si="1095">IF(N37="Hybrid - Thrust + 2 connections",IF(COUNTIF($DK37:$ED37,DS37)&gt;1,DS37,""),IF(COUNTIF($DK37:$ED37,DS37)&gt;5,DS37,""))</f>
        <v/>
      </c>
      <c r="DT38" s="108" t="str">
        <f t="shared" ref="DT38" si="1096">IF(O37="Hybrid - Thrust + 2 connections",IF(COUNTIF($DK37:$ED37,DT37)&gt;1,DT37,""),IF(COUNTIF($DK37:$ED37,DT37)&gt;5,DT37,""))</f>
        <v/>
      </c>
      <c r="DU38" s="108" t="str">
        <f t="shared" ref="DU38" si="1097">IF(P37="Hybrid - Thrust + 2 connections",IF(COUNTIF($DK37:$ED37,DU37)&gt;1,DU37,""),IF(COUNTIF($DK37:$ED37,DU37)&gt;5,DU37,""))</f>
        <v/>
      </c>
      <c r="DV38" s="108" t="str">
        <f t="shared" ref="DV38" si="1098">IF(Q37="Hybrid - Thrust + 2 connections",IF(COUNTIF($DK37:$ED37,DV37)&gt;1,DV37,""),IF(COUNTIF($DK37:$ED37,DV37)&gt;5,DV37,""))</f>
        <v/>
      </c>
      <c r="DW38" s="108" t="str">
        <f t="shared" ref="DW38" si="1099">IF(R37="Hybrid - Thrust + 2 connections",IF(COUNTIF($DK37:$ED37,DW37)&gt;1,DW37,""),IF(COUNTIF($DK37:$ED37,DW37)&gt;5,DW37,""))</f>
        <v/>
      </c>
      <c r="DX38" s="108" t="str">
        <f t="shared" ref="DX38" si="1100">IF(S37="Hybrid - Thrust + 2 connections",IF(COUNTIF($DK37:$ED37,DX37)&gt;1,DX37,""),IF(COUNTIF($DK37:$ED37,DX37)&gt;5,DX37,""))</f>
        <v/>
      </c>
      <c r="DY38" s="108" t="str">
        <f t="shared" ref="DY38" si="1101">IF(T37="Hybrid - Thrust + 2 connections",IF(COUNTIF($DK37:$ED37,DY37)&gt;1,DY37,""),IF(COUNTIF($DK37:$ED37,DY37)&gt;5,DY37,""))</f>
        <v/>
      </c>
      <c r="DZ38" s="108" t="str">
        <f t="shared" ref="DZ38" si="1102">IF(U37="Hybrid - Thrust + 2 connections",IF(COUNTIF($DK37:$ED37,DZ37)&gt;1,DZ37,""),IF(COUNTIF($DK37:$ED37,DZ37)&gt;5,DZ37,""))</f>
        <v/>
      </c>
      <c r="EA38" s="108" t="str">
        <f t="shared" ref="EA38" si="1103">IF(V37="Hybrid - Thrust + 2 connections",IF(COUNTIF($DK37:$ED37,EA37)&gt;1,EA37,""),IF(COUNTIF($DK37:$ED37,EA37)&gt;5,EA37,""))</f>
        <v/>
      </c>
      <c r="EB38" s="108" t="str">
        <f t="shared" ref="EB38" si="1104">IF(W37="Hybrid - Thrust + 2 connections",IF(COUNTIF($DK37:$ED37,EB37)&gt;1,EB37,""),IF(COUNTIF($DK37:$ED37,EB37)&gt;5,EB37,""))</f>
        <v/>
      </c>
      <c r="EC38" s="108" t="str">
        <f t="shared" ref="EC38" si="1105">IF(X37="Hybrid - Thrust + 2 connections",IF(COUNTIF($DK37:$ED37,EC37)&gt;1,EC37,""),IF(COUNTIF($DK37:$ED37,EC37)&gt;5,EC37,""))</f>
        <v/>
      </c>
      <c r="ED38" s="108" t="str">
        <f t="shared" ref="ED38" si="1106">IF(Y37="Hybrid - Thrust + 2 connections",IF(COUNTIF($DK37:$ED37,ED37)&gt;1,ED37,""),IF(COUNTIF($DK37:$ED37,ED37)&gt;5,ED37,""))</f>
        <v/>
      </c>
      <c r="EE38" s="108"/>
      <c r="EF38" s="108" t="str" cm="1">
        <f t="array" ref="EF38">IFERROR(INDEX(EG38:EZ38,MATCH(TRUE,INDEX((EG38:EZ38&lt;&gt;""),),0)),"")</f>
        <v/>
      </c>
      <c r="EG38" s="108" t="str">
        <f t="shared" ref="EG38" si="1107">IF(COUNTIF($EG37:$EZ37,EG37)&gt;3,EG37,"")</f>
        <v/>
      </c>
      <c r="EH38" s="108" t="str">
        <f t="shared" ref="EH38" si="1108">IF(COUNTIF($EG37:$EZ37,EH37)&gt;3,EH37,"")</f>
        <v/>
      </c>
      <c r="EI38" s="108" t="str">
        <f t="shared" ref="EI38" si="1109">IF(COUNTIF($EG37:$EZ37,EI37)&gt;3,EI37,"")</f>
        <v/>
      </c>
      <c r="EJ38" s="108" t="str">
        <f t="shared" ref="EJ38" si="1110">IF(COUNTIF($EG37:$EZ37,EJ37)&gt;3,EJ37,"")</f>
        <v/>
      </c>
      <c r="EK38" s="108" t="str">
        <f t="shared" ref="EK38" si="1111">IF(COUNTIF($EG37:$EZ37,EK37)&gt;3,EK37,"")</f>
        <v/>
      </c>
      <c r="EL38" s="108" t="str">
        <f t="shared" ref="EL38" si="1112">IF(COUNTIF($EG37:$EZ37,EL37)&gt;3,EL37,"")</f>
        <v/>
      </c>
      <c r="EM38" s="108" t="str">
        <f t="shared" ref="EM38" si="1113">IF(COUNTIF($EG37:$EZ37,EM37)&gt;3,EM37,"")</f>
        <v/>
      </c>
      <c r="EN38" s="108" t="str">
        <f t="shared" ref="EN38" si="1114">IF(COUNTIF($EG37:$EZ37,EN37)&gt;3,EN37,"")</f>
        <v/>
      </c>
      <c r="EO38" s="108" t="str">
        <f t="shared" ref="EO38" si="1115">IF(COUNTIF($EG37:$EZ37,EO37)&gt;3,EO37,"")</f>
        <v/>
      </c>
      <c r="EP38" s="108" t="str">
        <f t="shared" ref="EP38" si="1116">IF(COUNTIF($EG37:$EZ37,EP37)&gt;3,EP37,"")</f>
        <v/>
      </c>
      <c r="EQ38" s="108" t="str">
        <f t="shared" ref="EQ38" si="1117">IF(COUNTIF($EG37:$EZ37,EQ37)&gt;3,EQ37,"")</f>
        <v/>
      </c>
      <c r="ER38" s="108" t="str">
        <f t="shared" ref="ER38" si="1118">IF(COUNTIF($EG37:$EZ37,ER37)&gt;3,ER37,"")</f>
        <v/>
      </c>
      <c r="ES38" s="108" t="str">
        <f t="shared" ref="ES38" si="1119">IF(COUNTIF($EG37:$EZ37,ES37)&gt;3,ES37,"")</f>
        <v/>
      </c>
      <c r="ET38" s="108" t="str">
        <f t="shared" ref="ET38" si="1120">IF(COUNTIF($EG37:$EZ37,ET37)&gt;3,ET37,"")</f>
        <v/>
      </c>
      <c r="EU38" s="108" t="str">
        <f t="shared" ref="EU38" si="1121">IF(COUNTIF($EG37:$EZ37,EU37)&gt;3,EU37,"")</f>
        <v/>
      </c>
      <c r="EV38" s="108" t="str">
        <f t="shared" ref="EV38" si="1122">IF(COUNTIF($EG37:$EZ37,EV37)&gt;3,EV37,"")</f>
        <v/>
      </c>
      <c r="EW38" s="108" t="str">
        <f t="shared" ref="EW38" si="1123">IF(COUNTIF($EG37:$EZ37,EW37)&gt;3,EW37,"")</f>
        <v/>
      </c>
      <c r="EX38" s="108" t="str">
        <f t="shared" ref="EX38" si="1124">IF(COUNTIF($EG37:$EZ37,EX37)&gt;3,EX37,"")</f>
        <v/>
      </c>
      <c r="EY38" s="108" t="str">
        <f t="shared" ref="EY38" si="1125">IF(COUNTIF($EG37:$EZ37,EY37)&gt;3,EY37,"")</f>
        <v/>
      </c>
      <c r="EZ38" s="108" t="str">
        <f t="shared" ref="EZ38" si="1126">IF(COUNTIF($EG37:$EZ37,EZ37)&gt;3,EZ37,"")</f>
        <v/>
      </c>
      <c r="FA38" s="108"/>
      <c r="FB38" s="108"/>
      <c r="FC38" s="108"/>
      <c r="FD38" s="108"/>
      <c r="FE38" s="108"/>
      <c r="FF38" s="108"/>
      <c r="FG38" s="108"/>
      <c r="FH38" s="108"/>
      <c r="FI38" s="108" t="str">
        <f t="shared" ref="FI38" si="1127">IF($F37="Hybrid - Thrust + 2 connections",COUNTBLANK(J37:L37),"")</f>
        <v/>
      </c>
      <c r="FJ38" s="108"/>
      <c r="FN38" s="111"/>
    </row>
    <row r="39" spans="1:170" x14ac:dyDescent="0.3">
      <c r="A39" s="40" t="str">
        <f>IF(AND(E37="",A37&lt;&gt;""),IF(BS37=$BS$18,"",IF(C37&lt;&gt;"",IF(D37=59,MINUTE(BS37)+1,MINUTE(BS37)),"")),"")</f>
        <v/>
      </c>
      <c r="B39" s="41" t="str">
        <f>IF(AND(E37="",B37&lt;&gt;""),IF(BS37=$BS$18,"",IF(C37&lt;&gt;"",IF(D37=59,0,SECOND(BS37)+1),"")),"")</f>
        <v/>
      </c>
      <c r="C39" s="51"/>
      <c r="D39" s="51"/>
      <c r="E39" s="9"/>
      <c r="F39" s="52"/>
      <c r="G39" s="43" t="str">
        <f>IF(F39&lt;&gt;"",IF(OR(F39="Transition",F39="Transition - Surface Connection"),0,MAX($G$19:G38)+1),"")</f>
        <v/>
      </c>
      <c r="H39" s="57" t="str">
        <f t="shared" ref="H39" si="1128">IFERROR(IF(E40="3","",IF(OR(F39="Hybrid - min 4 swimmers (no DD)",LEFT(F39,5)="Trans"),"No DD",CONCATENATE("BM = ",I40))),"")</f>
        <v/>
      </c>
      <c r="I39" s="58"/>
      <c r="J39" s="130"/>
      <c r="K39" s="137"/>
      <c r="L39" s="137"/>
      <c r="M39" s="137"/>
      <c r="N39" s="137"/>
      <c r="O39" s="137"/>
      <c r="P39" s="137"/>
      <c r="Q39" s="137"/>
      <c r="R39" s="137"/>
      <c r="S39" s="137"/>
      <c r="T39" s="137"/>
      <c r="U39" s="137"/>
      <c r="V39" s="137"/>
      <c r="W39" s="137"/>
      <c r="X39" s="137"/>
      <c r="Y39" s="137"/>
      <c r="Z39" s="137"/>
      <c r="AA39" s="137"/>
      <c r="AB39" s="137"/>
      <c r="AC39" s="137"/>
      <c r="AD39" s="191"/>
      <c r="AE39" s="44"/>
      <c r="AF39" s="75"/>
      <c r="AG39" s="75"/>
      <c r="AH39" s="110"/>
      <c r="AI39" s="110"/>
      <c r="AJ39" s="110"/>
      <c r="AK39" s="110"/>
      <c r="AL39" s="110"/>
      <c r="AM39" s="110"/>
      <c r="AN39" s="110"/>
      <c r="AO39" s="110"/>
      <c r="AP39" s="110"/>
      <c r="AQ39" s="110"/>
      <c r="AR39" s="110"/>
      <c r="AS39" s="110"/>
      <c r="AT39" s="110" t="str">
        <f>IFERROR(IF(F39&lt;&gt;"",INDEX(Parts_Active,MATCH(F39,Parts_Active,0)),""),"No")</f>
        <v/>
      </c>
      <c r="AU39" s="110"/>
      <c r="AV39" s="110" t="str">
        <f t="shared" ref="AV39" si="1129">IF($E40="H",IF($F39="Hybrid - Thrust + 2 connections","Hybrid_Mix_Req","HybridDD_Code"),IF($E40=3,"TreDD_Code",IF($E40="PA","AcroPair_Code",IF(LEFT($F39,4)="Acro",CONCATENATE(AV$16,$E40,"_Code"),"Data!$BI$1:$BI$5"))))</f>
        <v>Data!$BI$1:$BI$5</v>
      </c>
      <c r="AW39" s="110" t="str">
        <f t="shared" ref="AW39" si="1130">IF($E40="H",IF($F39="Hybrid - Thrust + 2 connections","Hybrid_Mix_Req","HybridDD_Code"),IF($E40=3,"TreDD_Code",IF($E40="PA","AcroPair_Code",IF(LEFT($F39,4)="Acro",CONCATENATE(AW$16,$E40,"_Code"),"Data!$BI$1:$BI$5"))))</f>
        <v>Data!$BI$1:$BI$5</v>
      </c>
      <c r="AX39" s="110" t="str">
        <f t="shared" ref="AX39" si="1131">IF($E40="H",IF($F39="Hybrid - Thrust + 2 connections","Hybrid_Mix_Req","HybridDD_Code"),IF($E40=3,"TreDD_Code",IF($E40="PA","AcroPair_Code",IF(LEFT($F39,4)="Acro",CONCATENATE(AX$16,$E40,"_Code"),"Data!$BI$1:$BI$5"))))</f>
        <v>Data!$BI$1:$BI$5</v>
      </c>
      <c r="AY39" s="110" t="str">
        <f t="shared" ref="AY39" si="1132">IF($E40="H",IF($F39="Hybrid - Thrust + 2 connections","Data!$BI$1:$BI$5","HybridDD_Code"),IF($E40=3,"Data!$BI$1:$BI$5",IF(LEFT($F39,4)="Acro",CONCATENATE(AY$16,$E40,"_Code"),IF($E40="PA","","Data!$BI$1:$BI$5"))))</f>
        <v>Data!$BI$1:$BI$5</v>
      </c>
      <c r="AZ39" s="110" t="str">
        <f t="shared" ref="AZ39" si="1133">IF($E40="H",IF($F39="Hybrid - Thrust + 2 connections","Data!$BI$1:$BI$5","HybridDD_Code"),IF($E40=3,"Data!$BI$1:$BI$5",IF(LEFT($F39,4)="Acro",CONCATENATE(AZ$16,$E40,"_Code"),IF($E40="PA","","Data!$BI$1:$BI$5"))))</f>
        <v>Data!$BI$1:$BI$5</v>
      </c>
      <c r="BA39" s="110" t="str">
        <f t="shared" ref="BA39" si="1134">IF($E40="H",IF($F39="Hybrid - Thrust + 2 connections","Data!$BI$1:$BI$5","HybridDD_Code"),IF($E40=3,"Data!$BI$1:$BI$5",IF(LEFT($F39,4)="Acro",CONCATENATE(BA$16,$E40,"_Code"),IF($E40="PA","","Data!$BI$1:$BI$5"))))</f>
        <v>Data!$BI$1:$BI$5</v>
      </c>
      <c r="BB39" s="110" t="str">
        <f t="shared" ref="BB39" si="1135">IF($E40="H",IF($F39="Hybrid - Thrust + 2 connections","Data!$BI$1:$BI$5","HybridDD_Code"),IF($E40=3,"Data!$BI$1:$BI$5",IF(LEFT($F39,4)="Acro",CONCATENATE(BB$16,$E40,"_Code"),IF($E40="PA","","Data!$BI$1:$BI$5"))))</f>
        <v>Data!$BI$1:$BI$5</v>
      </c>
      <c r="BC39" s="110" t="str">
        <f t="shared" ref="BC39" si="1136">IF($E40="H",IF($F39="Hybrid - Thrust + 2 connections","Data!$BI$1:$BI$5","HybridDD_Code"),IF($E40=3,"Data!$BI$1:$BI$5",IF(LEFT($F39,4)="Acro",CONCATENATE(BC$16,$E40,"_Code"),IF($E40="PA","","Data!$BI$1:$BI$5"))))</f>
        <v>Data!$BI$1:$BI$5</v>
      </c>
      <c r="BD39" s="110" t="str">
        <f t="shared" ref="BD39" si="1137">IF($E40="H",IF($F39="Hybrid - Thrust + 2 connections","Data!$BI$1:$BI$5","HybridDD_Code"),IF($E40=3,"Data!$BI$1:$BI$5",IF(LEFT($F39,4)="Acro",CONCATENATE(BD$16,$E40,"_Code"),IF($E40="PA","","Data!$BI$1:$BI$5"))))</f>
        <v>Data!$BI$1:$BI$5</v>
      </c>
      <c r="BE39" s="110" t="str">
        <f t="shared" ref="BE39" si="1138">IF($E40="H",IF($F39="Hybrid - Thrust + 2 connections","Data!$BI$1:$BI$5","HybridDD_Code"),"Data!$BI$1:$BI$5")</f>
        <v>Data!$BI$1:$BI$5</v>
      </c>
      <c r="BF39" s="110" t="str">
        <f t="shared" ref="BF39:BO48" si="1139">$BE39</f>
        <v>Data!$BI$1:$BI$5</v>
      </c>
      <c r="BG39" s="110" t="str">
        <f t="shared" si="1139"/>
        <v>Data!$BI$1:$BI$5</v>
      </c>
      <c r="BH39" s="110" t="str">
        <f t="shared" si="1139"/>
        <v>Data!$BI$1:$BI$5</v>
      </c>
      <c r="BI39" s="110" t="str">
        <f t="shared" si="1139"/>
        <v>Data!$BI$1:$BI$5</v>
      </c>
      <c r="BJ39" s="110" t="str">
        <f t="shared" si="1139"/>
        <v>Data!$BI$1:$BI$5</v>
      </c>
      <c r="BK39" s="110" t="str">
        <f t="shared" si="1139"/>
        <v>Data!$BI$1:$BI$5</v>
      </c>
      <c r="BL39" s="110" t="str">
        <f t="shared" si="1139"/>
        <v>Data!$BI$1:$BI$5</v>
      </c>
      <c r="BM39" s="110" t="str">
        <f t="shared" si="1139"/>
        <v>Data!$BI$1:$BI$5</v>
      </c>
      <c r="BN39" s="110" t="str">
        <f t="shared" si="1139"/>
        <v>Data!$BI$1:$BI$5</v>
      </c>
      <c r="BO39" s="110" t="str">
        <f t="shared" si="1139"/>
        <v>Data!$BI$1:$BI$5</v>
      </c>
      <c r="BP39" s="110"/>
      <c r="BQ39" s="110"/>
      <c r="BR39" s="113" t="str">
        <f t="shared" ref="BR39" si="1140">IFERROR(TIME(0,A39,B39),"")</f>
        <v/>
      </c>
      <c r="BS39" s="114">
        <f>IFERROR(TIME(0,C39,D39),"")</f>
        <v>0</v>
      </c>
      <c r="BT39" s="114" t="str">
        <f t="shared" ref="BT39" si="1141">IF(BS39&gt;$D$12,"X","")</f>
        <v/>
      </c>
      <c r="BU39" s="108" t="str">
        <f>IF(AND(F39="Hybrid - Thrust + 2 connections",OR(LEFT(J39,1)="T",LEFT(K39,1)="T",LEFT(L39,1)="T",LEFT(NG39,1)="T",LEFT(M39,1)="T",LEFT(N39,1)="T",LEFT(O39,1)="T",LEFT(P39,1)="T",LEFT(Q39,1)="T",LEFT(R39,1)="T",LEFT(S39,1)="T",LEFT(T39,1)="T",LEFT(U39,1)="T",LEFT(V39,1)="T",LEFT(W39,1)="T",LEFT(X39,1)="T",LEFT(AA39,1)="T",LEFT(AB39,1)="T",LEFT(AC39,1)="T")),IF(OR(LEN(J39)=2,LEN(K39)=2,LEN(L39)=2,LEN(M39)=2,LEN(N39)=2,LEN(O39)=2,LEN(P39)=2,LEN(Q39)=2,LEN(R39)=2,LEN(S39)=2,LEN(T39)=2,LEN(U39)=2,LEN(V39)=2,LEN(W39)=2,LEN(X39)=2,LEN(Y39)=2,LEN(Z39)=2,LEN(AA39)=2,LEN(AB39)=2,LEN(AC39)=2),"X",""),"")</f>
        <v/>
      </c>
      <c r="BW39" s="108" t="str">
        <f>IF(LEFT(F39,4)="Acro",IF(AND(N39&lt;&gt;"",M39=RIGHT(N39,2)),"X","OK"),"")</f>
        <v/>
      </c>
      <c r="BX39" s="110" t="str">
        <f t="shared" ref="BX39:CE39" si="1142">IFERROR(IF(AND(LEFT($F39,4)="Acro",INDEX(Requ_App,MATCH(AV39,Requ_Code,0))="No"),"X",""),"")</f>
        <v/>
      </c>
      <c r="BY39" s="110" t="str">
        <f t="shared" si="1142"/>
        <v/>
      </c>
      <c r="BZ39" s="110" t="str">
        <f t="shared" si="1142"/>
        <v/>
      </c>
      <c r="CA39" s="110" t="str">
        <f t="shared" si="1142"/>
        <v/>
      </c>
      <c r="CB39" s="110" t="str">
        <f t="shared" si="1142"/>
        <v/>
      </c>
      <c r="CC39" s="110" t="str">
        <f t="shared" si="1142"/>
        <v/>
      </c>
      <c r="CD39" s="110" t="str">
        <f t="shared" si="1142"/>
        <v/>
      </c>
      <c r="CE39" s="110" t="str">
        <f t="shared" si="1142"/>
        <v/>
      </c>
      <c r="CF39" s="110" t="str">
        <f>IFERROR(IF(AND(LEFT($F39,4)="Acro",INDEX(Requ_App,MATCH(BC39,Requ_Code,0))="No"),"X",""),"")</f>
        <v/>
      </c>
      <c r="CG39" s="108" t="str">
        <f t="shared" si="9"/>
        <v/>
      </c>
      <c r="CH39" s="108" t="str">
        <f t="shared" si="10"/>
        <v/>
      </c>
      <c r="CI39" s="108" t="str">
        <f t="shared" si="11"/>
        <v/>
      </c>
      <c r="CJ39" s="108" t="str">
        <f t="shared" si="12"/>
        <v/>
      </c>
      <c r="CN39" s="108">
        <f t="shared" ref="CN39" si="1143">IF(AND(E40="A",OR(Q39="Grip",Q39="Conn",Q39="Catch")),"A1",IF(AND(E40="A",OR(Q39="Hula",Q39="RetSq",Q39="RetPa")),"A2",IF(AND(E40="B",OR(Q39="Twirl",Q39="RotF")),"B1",IF(AND(E40="B",OR(Q39="Moon",Q39="Mov")),"B2",IF(AND(E40="B",Q39="Hold"),"B3",IF(AND(E40="P",OR(Q39="Porp",Q39="Spitch")),"P1",IF(AND(E40="P",OR(Q39="Dive",Q39="Ps1",Q39="Ps1t0.5",Q39="Ps1op",Q39="Ps1t0,5o",Q39="Ps1t1",Q39="CH+")),"P2",IF(AND(E40="P",OR(Q39="Spider",Q39="Climb")),"P3",IF(AND(E40="P",OR(Q39="Fall",Q39="FTurn")),"P4",IF(AND(E40="C",OR(Q39="Jump",Q39="Jump&gt;",Q39="On1Foot",Q39="1F&gt;1F")),"C1",IF(AND(E40="C",OR(Q39="Run",Q39="BRun")),"C2",1)))))))))))</f>
        <v>1</v>
      </c>
      <c r="CO39" s="108">
        <f t="shared" ref="CO39" si="1144">IF(AND(E40="A",OR(R39="Grip",R39="Conn",R39="Catch")),"A1",IF(AND(E40="A",OR(R39="Hula",R39="RetSq",R39="RetPa")),"A2",IF(AND(E40="B",OR(R39="Twirl",R39="RotF")),"B1",IF(AND(E40="B",OR(R39="Moon",R39="Mov")),"B3",IF(AND(E40="B",R39="Hold"),"B2",IF(AND(E40="P",OR(R39="Porp",R39="Spitch")),"P1",IF(AND(E40="P",OR(R39="Dive",R39="Ps1",R39="Ps1t0.5",R39="Ps1op",R39="Ps1t0,5o",R39="Ps1t1",R39="CH+")),"P2",IF(AND(E40="P",OR(R39="Spider",R39="Climb")),"P3",IF(AND(E40="P",OR(R39="Fall",R39="FTurn")),"P4",IF(AND(E40="C",OR(R39="Jump",R39="Jump&gt;",R39="On1Foot",R39="1F&gt;1F")),"C1",IF(AND(E40="C",OR(R39="Run",R39="BRun")),"C2",2)))))))))))</f>
        <v>2</v>
      </c>
      <c r="CP39" s="108" t="str">
        <f t="shared" ref="CP39" si="1145">IF(AND(LEFT(F39,4)="Acro",Q39&lt;&gt;"",OR(Q39=R39,CN39=CO39)),IF(R39="C-Roll","","X"),IF(OR(AND(E40="A",Q39="Catch",R39&lt;&gt;"Dbl"),AND(E40="A",R39="Catch",Q39&lt;&gt;"Dbl")),"X",""))</f>
        <v/>
      </c>
      <c r="CQ39" s="108" t="str">
        <f t="shared" ref="CQ39" si="1146">IF(E40="PA",J39,"")</f>
        <v/>
      </c>
      <c r="CR39" s="108">
        <v>21</v>
      </c>
      <c r="CT39" s="108" t="str">
        <f t="shared" ref="CT39" si="1147">IF(AND($E40="A",COUNTIF($DC$19:$DD$68,DC39)&gt;1),DC39,"")</f>
        <v/>
      </c>
      <c r="CU39" s="108" t="str">
        <f t="shared" ref="CU39" si="1148">IF(AND($E40="A",COUNTIF($DC$19:$DD$68,DD39)&gt;1),DD39,"")</f>
        <v/>
      </c>
      <c r="CV39" s="108" t="str">
        <f t="shared" ref="CV39" ca="1" si="1149">IF(AND($E40="B",COUNTIF($J$19:$J$68,J39)&gt;1),J39,"")</f>
        <v/>
      </c>
      <c r="CW39" s="108" t="str">
        <f t="shared" ref="CW39" ca="1" si="1150">IF(AND($E40="B",COUNTIF($K$19:$K$68,K39)&gt;1),K39,"")</f>
        <v/>
      </c>
      <c r="CX39" s="108" t="str">
        <f t="shared" ref="CX39" ca="1" si="1151">IF(AND($E40="C",COUNTIF($J$19:$J$68,J39)&gt;1),J39,"")</f>
        <v/>
      </c>
      <c r="CY39" s="108" t="str">
        <f t="shared" ref="CY39" ca="1" si="1152">IF(AND($E40="P",COUNTIF($J$19:$J$68,J39)&gt;1),J39,"")</f>
        <v/>
      </c>
      <c r="CZ39" s="108" t="str">
        <f t="shared" ref="CZ39" ca="1" si="1153">IF(AND($E40="P",COUNTIF($K$19:$K$68,K39)&gt;1),K39,"")</f>
        <v/>
      </c>
      <c r="DA39" s="108" t="str">
        <f t="shared" ref="DA39" si="1154">IF(AND($E40="P",COUNTIF($DC$19:$DD$68,DC39)&gt;1),DC39,"")</f>
        <v/>
      </c>
      <c r="DB39" s="108" t="str">
        <f t="shared" ref="DB39" si="1155">IF(AND($E40="P",COUNTIF($DC$19:$DD$68,DD39)&gt;1),DD39,"")</f>
        <v/>
      </c>
      <c r="DC39" s="108" t="str">
        <f t="shared" ref="DC39" si="1156">IFERROR(IF(OR(E40="A",E40="P"),M39,""),"")</f>
        <v/>
      </c>
      <c r="DD39" s="108" t="str">
        <f t="shared" ref="DD39" si="1157">IFERROR(IF(OR(E40="A",E40="P"),RIGHT(N39,2),""),"")</f>
        <v/>
      </c>
      <c r="DF39" s="108" t="str">
        <f t="shared" ref="DF39" si="1158">IF(AND($F$8="Open Team Acrobatic",LEFT(F39,4)="Acro"),E40,"")</f>
        <v/>
      </c>
      <c r="DG39" s="108" t="str">
        <f t="shared" ref="DG39" si="1159">IFERROR(IF(HLOOKUP(DF39,$DD$12:$DG$13,2,FALSE)&gt;2,"X",""),"")</f>
        <v/>
      </c>
      <c r="DI39" s="108" t="str">
        <f t="shared" ref="DI39" si="1160">IF(OR(AND(F39="Hybrid - Thrust + 2 connections",DI40="T"),AND(F39="Hybrid - Free",DI40&lt;&gt;"")),"X","")</f>
        <v/>
      </c>
      <c r="DK39" s="108">
        <f t="shared" ref="DK39" si="1161">IFERROR(IF(AND($E40="H",J39&lt;&gt;""),IF(OR(LEFT(J39,1)="T",LEFT(J39,1)="S",LEFT(J39,1)="A",LEFT(J39,1)="F",LEFT(J39,1)="C"),LEFT(J39,1),"R"),DK$18),"")</f>
        <v>1</v>
      </c>
      <c r="DL39" s="108">
        <f t="shared" ref="DL39" si="1162">IFERROR(IF(AND($E40="H",K39&lt;&gt;""),IF(OR(LEFT(K39,1)="T",LEFT(K39,1)="S",LEFT(K39,1)="A",LEFT(K39,1)="F",LEFT(K39,1)="C"),LEFT(K39,1),"R"),DL$18),"")</f>
        <v>2</v>
      </c>
      <c r="DM39" s="108">
        <f t="shared" ref="DM39" si="1163">IFERROR(IF(AND($E40="H",L39&lt;&gt;""),IF(OR(LEFT(L39,1)="T",LEFT(L39,1)="S",LEFT(L39,1)="A",LEFT(L39,1)="F",LEFT(L39,1)="C"),LEFT(L39,1),"R"),DM$18),"")</f>
        <v>3</v>
      </c>
      <c r="DN39" s="108">
        <f t="shared" ref="DN39" si="1164">IFERROR(IF(AND($E40="H",M39&lt;&gt;""),IF(OR(LEFT(M39,1)="T",LEFT(M39,1)="S",LEFT(M39,1)="A",LEFT(M39,1)="F",LEFT(M39,1)="C"),LEFT(M39,1),"R"),DN$18),"")</f>
        <v>4</v>
      </c>
      <c r="DO39" s="108">
        <f t="shared" ref="DO39" si="1165">IFERROR(IF(AND($E40="H",N39&lt;&gt;""),IF(OR(LEFT(N39,1)="T",LEFT(N39,1)="S",LEFT(N39,1)="A",LEFT(N39,1)="F",LEFT(N39,1)="C"),LEFT(N39,1),"R"),DO$18),"")</f>
        <v>5</v>
      </c>
      <c r="DP39" s="108">
        <f t="shared" ref="DP39" si="1166">IFERROR(IF(AND($E40="H",O39&lt;&gt;""),IF(OR(LEFT(O39,1)="T",LEFT(O39,1)="S",LEFT(O39,1)="A",LEFT(O39,1)="F",LEFT(O39,1)="C"),LEFT(O39,1),"R"),DP$18),"")</f>
        <v>6</v>
      </c>
      <c r="DQ39" s="108">
        <f t="shared" ref="DQ39" si="1167">IFERROR(IF(AND($E40="H",P39&lt;&gt;""),IF(OR(LEFT(P39,1)="T",LEFT(P39,1)="S",LEFT(P39,1)="A",LEFT(P39,1)="F",LEFT(P39,1)="C"),LEFT(P39,1),"R"),DQ$18),"")</f>
        <v>7</v>
      </c>
      <c r="DR39" s="108">
        <f t="shared" ref="DR39" si="1168">IFERROR(IF(AND($E40="H",Q39&lt;&gt;""),IF(OR(LEFT(Q39,1)="T",LEFT(Q39,1)="S",LEFT(Q39,1)="A",LEFT(Q39,1)="F",LEFT(Q39,1)="C"),LEFT(Q39,1),"R"),DR$18),"")</f>
        <v>8</v>
      </c>
      <c r="DS39" s="108">
        <f t="shared" ref="DS39" si="1169">IFERROR(IF(AND($E40="H",R39&lt;&gt;""),IF(OR(LEFT(R39,1)="T",LEFT(R39,1)="S",LEFT(R39,1)="A",LEFT(R39,1)="F",LEFT(R39,1)="C"),LEFT(R39,1),"R"),DS$18),"")</f>
        <v>9</v>
      </c>
      <c r="DT39" s="108">
        <f t="shared" ref="DT39" si="1170">IFERROR(IF(AND($E40="H",S39&lt;&gt;""),IF(OR(LEFT(S39,1)="T",LEFT(S39,1)="S",LEFT(S39,1)="A",LEFT(S39,1)="F",LEFT(S39,1)="C"),LEFT(S39,1),"R"),DT$18),"")</f>
        <v>10</v>
      </c>
      <c r="DU39" s="108">
        <f t="shared" ref="DU39" si="1171">IFERROR(IF(AND($E40="H",T39&lt;&gt;""),IF(OR(LEFT(T39,1)="T",LEFT(T39,1)="S",LEFT(T39,1)="A",LEFT(T39,1)="F",LEFT(T39,1)="C"),LEFT(T39,1),"R"),DU$18),"")</f>
        <v>11</v>
      </c>
      <c r="DV39" s="108">
        <f t="shared" ref="DV39" si="1172">IFERROR(IF(AND($E40="H",U39&lt;&gt;""),IF(OR(LEFT(U39,1)="T",LEFT(U39,1)="S",LEFT(U39,1)="A",LEFT(U39,1)="F",LEFT(U39,1)="C"),LEFT(U39,1),"R"),DV$18),"")</f>
        <v>12</v>
      </c>
      <c r="DW39" s="108">
        <f t="shared" ref="DW39" si="1173">IFERROR(IF(AND($E40="H",V39&lt;&gt;""),IF(OR(LEFT(V39,1)="T",LEFT(V39,1)="S",LEFT(V39,1)="A",LEFT(V39,1)="F",LEFT(V39,1)="C"),LEFT(V39,1),"R"),DW$18),"")</f>
        <v>13</v>
      </c>
      <c r="DX39" s="108">
        <f t="shared" ref="DX39" si="1174">IFERROR(IF(AND($E40="H",W39&lt;&gt;""),IF(OR(LEFT(W39,1)="T",LEFT(W39,1)="S",LEFT(W39,1)="A",LEFT(W39,1)="F",LEFT(W39,1)="C"),LEFT(W39,1),"R"),DX$18),"")</f>
        <v>14</v>
      </c>
      <c r="DY39" s="108">
        <f t="shared" ref="DY39" si="1175">IFERROR(IF(AND($E40="H",X39&lt;&gt;""),IF(OR(LEFT(X39,1)="T",LEFT(X39,1)="S",LEFT(X39,1)="A",LEFT(X39,1)="F",LEFT(X39,1)="C"),LEFT(X39,1),"R"),DY$18),"")</f>
        <v>15</v>
      </c>
      <c r="DZ39" s="108">
        <f t="shared" ref="DZ39" si="1176">IFERROR(IF(AND($E40="H",Y39&lt;&gt;""),IF(OR(LEFT(Y39,1)="T",LEFT(Y39,1)="S",LEFT(Y39,1)="A",LEFT(Y39,1)="F",LEFT(Y39,1)="C"),LEFT(Y39,1),"R"),DZ$18),"")</f>
        <v>16</v>
      </c>
      <c r="EA39" s="108">
        <f t="shared" ref="EA39" si="1177">IFERROR(IF(AND($E40="H",Z39&lt;&gt;""),IF(OR(LEFT(Z39,1)="T",LEFT(Z39,1)="S",LEFT(Z39,1)="A",LEFT(Z39,1)="F",LEFT(Z39,1)="C"),LEFT(Z39,1),"R"),EA$18),"")</f>
        <v>17</v>
      </c>
      <c r="EB39" s="108">
        <f t="shared" ref="EB39" si="1178">IFERROR(IF(AND($E40="H",AA39&lt;&gt;""),IF(OR(LEFT(AA39,1)="T",LEFT(AA39,1)="S",LEFT(AA39,1)="A",LEFT(AA39,1)="F",LEFT(AA39,1)="C"),LEFT(AA39,1),"R"),EB$18),"")</f>
        <v>18</v>
      </c>
      <c r="EC39" s="108">
        <f t="shared" ref="EC39" si="1179">IFERROR(IF(AND($E40="H",AB39&lt;&gt;""),IF(OR(LEFT(AB39,1)="T",LEFT(AB39,1)="S",LEFT(AB39,1)="A",LEFT(AB39,1)="F",LEFT(AB39,1)="C"),LEFT(AB39,1),"R"),EC$18),"")</f>
        <v>19</v>
      </c>
      <c r="ED39" s="108">
        <f t="shared" ref="ED39" si="1180">IFERROR(IF(AND($E40="H",AC39&lt;&gt;""),IF(OR(LEFT(AC39,1)="T",LEFT(AC39,1)="S",LEFT(AC39,1)="A",LEFT(AC39,1)="F",LEFT(AC39,1)="C"),LEFT(AC39,1),"R"),ED$18),"")</f>
        <v>20</v>
      </c>
      <c r="EE39" s="108"/>
      <c r="EF39" s="108"/>
      <c r="EG39" s="108">
        <f t="shared" ref="EG39:EZ39" si="1181">IFERROR(IF(J39&lt;&gt;"",UPPER(J39),EG$18),EG$18)</f>
        <v>1</v>
      </c>
      <c r="EH39" s="108">
        <f t="shared" si="1181"/>
        <v>2</v>
      </c>
      <c r="EI39" s="108">
        <f t="shared" si="1181"/>
        <v>3</v>
      </c>
      <c r="EJ39" s="108">
        <f t="shared" si="1181"/>
        <v>4</v>
      </c>
      <c r="EK39" s="108">
        <f t="shared" si="1181"/>
        <v>5</v>
      </c>
      <c r="EL39" s="108">
        <f t="shared" si="1181"/>
        <v>6</v>
      </c>
      <c r="EM39" s="108">
        <f t="shared" si="1181"/>
        <v>7</v>
      </c>
      <c r="EN39" s="108">
        <f t="shared" si="1181"/>
        <v>8</v>
      </c>
      <c r="EO39" s="108">
        <f t="shared" si="1181"/>
        <v>9</v>
      </c>
      <c r="EP39" s="108">
        <f t="shared" si="1181"/>
        <v>10</v>
      </c>
      <c r="EQ39" s="108">
        <f t="shared" si="1181"/>
        <v>11</v>
      </c>
      <c r="ER39" s="108">
        <f t="shared" si="1181"/>
        <v>12</v>
      </c>
      <c r="ES39" s="108">
        <f t="shared" si="1181"/>
        <v>13</v>
      </c>
      <c r="ET39" s="108">
        <f t="shared" si="1181"/>
        <v>14</v>
      </c>
      <c r="EU39" s="108">
        <f t="shared" si="1181"/>
        <v>15</v>
      </c>
      <c r="EV39" s="108">
        <f t="shared" si="1181"/>
        <v>16</v>
      </c>
      <c r="EW39" s="108">
        <f t="shared" si="1181"/>
        <v>17</v>
      </c>
      <c r="EX39" s="108">
        <f t="shared" si="1181"/>
        <v>18</v>
      </c>
      <c r="EY39" s="108">
        <f t="shared" si="1181"/>
        <v>19</v>
      </c>
      <c r="EZ39" s="108">
        <f t="shared" si="1181"/>
        <v>20</v>
      </c>
      <c r="FA39" s="108"/>
      <c r="FB39" s="108">
        <f t="shared" ref="FB39" si="1182">COUNTIF($DK39:$ED39,FB$18)</f>
        <v>0</v>
      </c>
      <c r="FC39" s="108">
        <f t="shared" si="934"/>
        <v>0</v>
      </c>
      <c r="FD39" s="108">
        <f t="shared" si="934"/>
        <v>0</v>
      </c>
      <c r="FE39" s="108">
        <f t="shared" si="934"/>
        <v>0</v>
      </c>
      <c r="FF39" s="108">
        <f t="shared" si="934"/>
        <v>0</v>
      </c>
      <c r="FG39" s="108">
        <f t="shared" si="934"/>
        <v>0</v>
      </c>
      <c r="FH39" s="108"/>
      <c r="FI39" s="108" t="str">
        <f t="shared" ref="FI39" si="1183">IF(AND($F39="Hybrid - Thrust + 2 connections",FI40=0,LEFT($J39,1)="C",LEFT($K39,1)="C",LEFT($L39,1)="C"),"X","")</f>
        <v/>
      </c>
      <c r="FJ39" s="108"/>
      <c r="FL39" s="120" t="e">
        <f>IF(OR(LEFT(#REF!,2)="PL",LEFT(#REF!,2)="PL",LEFT(#REF!,2)="PL",LEFT(#REF!,2)="PL",LEFT(#REF!,2)="PL"),IF($BS$17-BR39&gt;$FL$17,"X",""),"")</f>
        <v>#REF!</v>
      </c>
      <c r="FM39" s="120"/>
      <c r="FN39" s="111" t="str">
        <f>IF(E40=3,_xlfn.NUMBERVALUE(LEFT(J39,1)),"")</f>
        <v/>
      </c>
    </row>
    <row r="40" spans="1:170" x14ac:dyDescent="0.3">
      <c r="A40" s="40"/>
      <c r="B40" s="41"/>
      <c r="C40" s="41"/>
      <c r="D40" s="41"/>
      <c r="E40" s="21" t="str">
        <f t="shared" ref="E40" si="1184">IF(F39="Acrobatic - Pair","PA",IF(F39="Acrobatic Airborn","A",IF(F39="Acrobatic Balance","B",IF(F39="Acrobatic Combined","C",IF(F39="Acrobatic Platform","P",IF(F39="Technical Required Element",3,IF(LEFT(F39,4)="Hybr","H","")))))))</f>
        <v/>
      </c>
      <c r="F40" s="21" t="str">
        <f>IF(AND(F39="Hybrid - Thrust + 2 connections",BU39="X"),"Hybrid - Thrust",IF(OR(E40="A",E40="B",E40="C",E40="P"),"Acrobatic",""))</f>
        <v/>
      </c>
      <c r="G40" s="43"/>
      <c r="H40" s="222" t="str">
        <f t="shared" ref="H40" si="1185">IF(E40="PA",IF(OR(LEFT(J39,1)="L",LEFT(J39,1)="S"),"A-Pair-Lift",IF(OR(LEFT(J39,1)="W",LEFT(J39,1)="T"),"A-Pair-Throw",IF(LEFT(J39,1)="J","A-Pair-Jump","A-Pair"))),IF(OR(E40="A",E40="B",E40="C",E40="P"),CONCATENATE("Acro-",E40),""))</f>
        <v/>
      </c>
      <c r="I40" s="216" t="e">
        <f t="shared" ref="I40" si="1186">IF(OR(F39="Hybrid - min 4 swimmers (no DD)",LEFT(F39,5)="Trans"),0,INDEX($BV$3:$BV$9,MATCH(E40,$BU$3:$BU$9,0)))</f>
        <v>#N/A</v>
      </c>
      <c r="J40" s="210">
        <f t="shared" ref="J40" ca="1" si="1187">IFERROR(IF($H39="No DD",0,IF(OR(ISBLANK(J39),J39="N/A"),0,INDEX(INDIRECT(AV40),MATCH(J39,INDIRECT(AV39),0)))),0)</f>
        <v>0</v>
      </c>
      <c r="K40" s="210">
        <f t="shared" ref="K40" ca="1" si="1188">IFERROR(IF($H39="No DD",0,IF(OR(ISBLANK(K39),K39="N/A"),0,INDEX(INDIRECT(AW40),MATCH(K39,INDIRECT(AW39),0)))),0)</f>
        <v>0</v>
      </c>
      <c r="L40" s="210">
        <f t="shared" ref="L40" ca="1" si="1189">IFERROR(IF($H39="No DD",0,IF(OR(ISBLANK(L39),L39="N/A"),0,INDEX(INDIRECT(AX40),MATCH(L39,INDIRECT(AX39),0)))),0)</f>
        <v>0</v>
      </c>
      <c r="M40" s="210">
        <f t="shared" ref="M40" ca="1" si="1190">IFERROR(IF($H39="No DD",0,IF(OR(ISBLANK(M39),M39="N/A"),0,INDEX(INDIRECT(AY40),MATCH(M39,INDIRECT(AY39),0)))),0)</f>
        <v>0</v>
      </c>
      <c r="N40" s="210">
        <f t="shared" ref="N40" ca="1" si="1191">IFERROR(IF($H39="No DD",0,IF(OR(ISBLANK(N39),N39="N/A"),0,INDEX(INDIRECT(AZ40),MATCH(N39,INDIRECT(AZ39),0)))),0)</f>
        <v>0</v>
      </c>
      <c r="O40" s="210">
        <f t="shared" ref="O40" ca="1" si="1192">IFERROR(IF($H39="No DD",0,IF(OR(ISBLANK(O39),O39="N/A"),0,INDEX(INDIRECT(BA40),MATCH(O39,INDIRECT(BA39),0)))),0)</f>
        <v>0</v>
      </c>
      <c r="P40" s="210">
        <f t="shared" ref="P40" ca="1" si="1193">IFERROR(IF($H39="No DD",0,IF(OR(ISBLANK(P39),P39="N/A"),0,INDEX(INDIRECT(BB40),MATCH(P39,INDIRECT(BB39),0)))),0)</f>
        <v>0</v>
      </c>
      <c r="Q40" s="210">
        <f t="shared" ref="Q40" ca="1" si="1194">IFERROR(IF($H39="No DD",0,IF(OR(ISBLANK(Q39),Q39="N/A"),0,INDEX(INDIRECT(BC40),MATCH(Q39,INDIRECT(BC39),0)))),0)</f>
        <v>0</v>
      </c>
      <c r="R40" s="210">
        <f t="shared" ref="R40" ca="1" si="1195">IFERROR(IF($H39="No DD",0,IF(OR(ISBLANK(R39),R39="N/A"),0,INDEX(INDIRECT(BD40),MATCH(R39,INDIRECT(BD39),0)))),0)</f>
        <v>0</v>
      </c>
      <c r="S40" s="210">
        <f t="shared" ref="S40" ca="1" si="1196">IFERROR(IF($H39="No DD",0,IF(OR(ISBLANK(S39),S39="N/A"),0,INDEX(INDIRECT(BE40),MATCH(S39,INDIRECT(BE39),0)))),0)</f>
        <v>0</v>
      </c>
      <c r="T40" s="210">
        <f t="shared" ref="T40" ca="1" si="1197">IFERROR(IF($H39="No DD",0,IF(OR(ISBLANK(T39),T39="N/A"),0,INDEX(INDIRECT(BF40),MATCH(T39,INDIRECT(BF39),0)))),0)</f>
        <v>0</v>
      </c>
      <c r="U40" s="210">
        <f t="shared" ref="U40" ca="1" si="1198">IFERROR(IF($H39="No DD",0,IF(OR(ISBLANK(U39),U39="N/A"),0,INDEX(INDIRECT(BG40),MATCH(U39,INDIRECT(BG39),0)))),0)</f>
        <v>0</v>
      </c>
      <c r="V40" s="210">
        <f t="shared" ref="V40" ca="1" si="1199">IFERROR(IF($H39="No DD",0,IF(OR(ISBLANK(V39),V39="N/A"),0,INDEX(INDIRECT(BH40),MATCH(V39,INDIRECT(BH39),0)))),0)</f>
        <v>0</v>
      </c>
      <c r="W40" s="210">
        <f t="shared" ref="W40" ca="1" si="1200">IFERROR(IF($H39="No DD",0,IF(OR(ISBLANK(W39),W39="N/A"),0,INDEX(INDIRECT(BI40),MATCH(W39,INDIRECT(BI39),0)))),0)</f>
        <v>0</v>
      </c>
      <c r="X40" s="210">
        <f t="shared" ref="X40" ca="1" si="1201">IFERROR(IF($H39="No DD",0,IF(OR(ISBLANK(X39),X39="N/A"),0,INDEX(INDIRECT(BJ40),MATCH(X39,INDIRECT(BJ39),0)))),0)</f>
        <v>0</v>
      </c>
      <c r="Y40" s="210">
        <f t="shared" ref="Y40" ca="1" si="1202">IFERROR(IF($H39="No DD",0,IF(OR(ISBLANK(Y39),Y39="N/A"),0,INDEX(INDIRECT(BK40),MATCH(Y39,INDIRECT(BK39),0)))),0)</f>
        <v>0</v>
      </c>
      <c r="Z40" s="210">
        <f t="shared" ref="Z40" ca="1" si="1203">IFERROR(IF($H39="No DD",0,IF(OR(ISBLANK(Z39),Z39="N/A"),0,INDEX(INDIRECT(BL40),MATCH(Z39,INDIRECT(BL39),0)))),0)</f>
        <v>0</v>
      </c>
      <c r="AA40" s="210">
        <f t="shared" ref="AA40" ca="1" si="1204">IFERROR(IF($H39="No DD",0,IF(OR(ISBLANK(AA39),AA39="N/A"),0,INDEX(INDIRECT(BM40),MATCH(AA39,INDIRECT(BM39),0)))),0)</f>
        <v>0</v>
      </c>
      <c r="AB40" s="210">
        <f t="shared" ref="AB40" ca="1" si="1205">IFERROR(IF($H39="No DD",0,IF(OR(ISBLANK(AB39),AB39="N/A"),0,INDEX(INDIRECT(BN40),MATCH(AB39,INDIRECT(BN39),0)))),0)</f>
        <v>0</v>
      </c>
      <c r="AC40" s="210">
        <f t="shared" ref="AC40" ca="1" si="1206">IFERROR(IF($H39="No DD",0,IF(OR(ISBLANK(AC39),AC39="N/A"),0,INDEX(INDIRECT(BO40),MATCH(AC39,INDIRECT(BO39),0)))),0)</f>
        <v>0</v>
      </c>
      <c r="AD40" s="211" t="str">
        <f>IFERROR(IF(E40="H",INDEX(HybridBonus_Value,MATCH(AD39,HybridBonus_Code,0)),""),"")</f>
        <v/>
      </c>
      <c r="AE40" s="209" t="str">
        <f t="shared" ref="AE40" si="1207">IFERROR(IF(J39&lt;&gt;"",SUM(I40:AD40),""),"")</f>
        <v/>
      </c>
      <c r="AF40" s="76"/>
      <c r="AG40" s="76"/>
      <c r="AH40" s="121"/>
      <c r="AI40" s="121"/>
      <c r="AJ40" s="121"/>
      <c r="AK40" s="121"/>
      <c r="AL40" s="121"/>
      <c r="AM40" s="121"/>
      <c r="AN40" s="121"/>
      <c r="AO40" s="121"/>
      <c r="AP40" s="121"/>
      <c r="AQ40" s="121"/>
      <c r="AR40" s="121"/>
      <c r="AS40" s="121"/>
      <c r="AT40" s="110"/>
      <c r="AU40" s="121"/>
      <c r="AV40" s="111" t="str">
        <f t="shared" ref="AV40" si="1208">IF($E40="H","HybridDD_Value",IF($E40=3,"TreDD_Value",IF($E40="PA","AcroPair_Value",IF(LEFT($F39,4)="Acro",CONCATENATE(AV$16,$E40,"_Value"),""))))</f>
        <v/>
      </c>
      <c r="AW40" s="111" t="str">
        <f t="shared" ref="AW40:AX40" si="1209">IF($E40="H","HybridDD_Value",IF($E40=3,"",IF(LEFT($F39,4)="Acro",CONCATENATE(AW$16,$E40,"_Value"),IF($E40="PA","",""))))</f>
        <v/>
      </c>
      <c r="AX40" s="111" t="str">
        <f t="shared" si="1209"/>
        <v/>
      </c>
      <c r="AY40" s="111" t="str">
        <f t="shared" ref="AY40:BD40" si="1210">IF($E40="H","HybridDD_Value",IF($E40=3,"",IF(LEFT($F39,4)="Acro",CONCATENATE(AY$16,$E40,"_Value"),IF($E40="PA","",""))))</f>
        <v/>
      </c>
      <c r="AZ40" s="111" t="str">
        <f t="shared" si="1210"/>
        <v/>
      </c>
      <c r="BA40" s="111" t="str">
        <f t="shared" si="1210"/>
        <v/>
      </c>
      <c r="BB40" s="111" t="str">
        <f t="shared" si="1210"/>
        <v/>
      </c>
      <c r="BC40" s="111" t="str">
        <f t="shared" si="1210"/>
        <v/>
      </c>
      <c r="BD40" s="111" t="str">
        <f t="shared" si="1210"/>
        <v/>
      </c>
      <c r="BE40" s="110" t="str">
        <f t="shared" ref="BE40" si="1211">IF($E40="H","HybridDD_Value","Data!$BI$1:$BI$5")</f>
        <v>Data!$BI$1:$BI$5</v>
      </c>
      <c r="BF40" s="110" t="str">
        <f t="shared" si="1139"/>
        <v>Data!$BI$1:$BI$5</v>
      </c>
      <c r="BG40" s="110" t="str">
        <f t="shared" si="1139"/>
        <v>Data!$BI$1:$BI$5</v>
      </c>
      <c r="BH40" s="110" t="str">
        <f t="shared" si="1139"/>
        <v>Data!$BI$1:$BI$5</v>
      </c>
      <c r="BI40" s="110" t="str">
        <f t="shared" si="1139"/>
        <v>Data!$BI$1:$BI$5</v>
      </c>
      <c r="BJ40" s="110" t="str">
        <f t="shared" si="1139"/>
        <v>Data!$BI$1:$BI$5</v>
      </c>
      <c r="BK40" s="110" t="str">
        <f t="shared" si="1139"/>
        <v>Data!$BI$1:$BI$5</v>
      </c>
      <c r="BL40" s="110" t="str">
        <f t="shared" si="1139"/>
        <v>Data!$BI$1:$BI$5</v>
      </c>
      <c r="BM40" s="110" t="str">
        <f t="shared" si="1139"/>
        <v>Data!$BI$1:$BI$5</v>
      </c>
      <c r="BN40" s="110" t="str">
        <f t="shared" si="1139"/>
        <v>Data!$BI$1:$BI$5</v>
      </c>
      <c r="BO40" s="110" t="str">
        <f t="shared" si="1139"/>
        <v>Data!$BI$1:$BI$5</v>
      </c>
      <c r="BP40" s="121"/>
      <c r="BQ40" s="121"/>
      <c r="BR40" s="122" t="str">
        <f>IFERROR(IF(AND($BS$6="T",$BS$8="T",LEFT(F39,4)="Acro",AE40&gt;3),"X",IF($N$7="X",IF(AND(E40="C",AE40&gt;$CA$6),"X",IF(AND(E40="A",AE40&gt;$CA$4),"X",IF(AND(E40="B",AE40&gt;$CA$5),"X",IF(AND(E40="P",AE40&gt;$CA$7),"X","")))),"")),"")</f>
        <v/>
      </c>
      <c r="BS40" s="114"/>
      <c r="BU40" s="108"/>
      <c r="CA40" s="111"/>
      <c r="CB40" s="111"/>
      <c r="CC40" s="111"/>
      <c r="CG40" s="108" t="str">
        <f t="shared" si="9"/>
        <v/>
      </c>
      <c r="CH40" s="108" t="str">
        <f t="shared" si="10"/>
        <v/>
      </c>
      <c r="CI40" s="108" t="str">
        <f t="shared" si="11"/>
        <v/>
      </c>
      <c r="CJ40" s="108" t="str">
        <f t="shared" si="12"/>
        <v/>
      </c>
      <c r="CR40" s="108">
        <v>22</v>
      </c>
      <c r="DI40" s="108" t="str" cm="1">
        <f t="array" ref="DI40">IFERROR(INDEX(DK40:ED40,MATCH(TRUE,INDEX((DK40:ED40&lt;&gt;""),),0)),"")</f>
        <v/>
      </c>
      <c r="DK40" s="108" t="str">
        <f t="shared" ref="DK40" si="1212">IF(F39="Hybrid - Thrust + 2 connections",IF(COUNTIF($DK39:$ED39,DK39)&gt;1,DK39,""),IF(COUNTIF($DK39:$ED39,DK39)&gt;5,DK39,""))</f>
        <v/>
      </c>
      <c r="DL40" s="108" t="str">
        <f t="shared" ref="DL40" si="1213">IF(G39="Hybrid - Thrust + 2 connections",IF(COUNTIF($DK39:$ED39,DL39)&gt;1,DL39,""),IF(COUNTIF($DK39:$ED39,DL39)&gt;5,DL39,""))</f>
        <v/>
      </c>
      <c r="DM40" s="108" t="str">
        <f t="shared" ref="DM40" si="1214">IF(H39="Hybrid - Thrust + 2 connections",IF(COUNTIF($DK39:$ED39,DM39)&gt;1,DM39,""),IF(COUNTIF($DK39:$ED39,DM39)&gt;5,DM39,""))</f>
        <v/>
      </c>
      <c r="DN40" s="108" t="str">
        <f t="shared" ref="DN40" si="1215">IF(I39="Hybrid - Thrust + 2 connections",IF(COUNTIF($DK39:$ED39,DN39)&gt;1,DN39,""),IF(COUNTIF($DK39:$ED39,DN39)&gt;5,DN39,""))</f>
        <v/>
      </c>
      <c r="DO40" s="108" t="str">
        <f t="shared" ref="DO40" si="1216">IF(J39="Hybrid - Thrust + 2 connections",IF(COUNTIF($DK39:$ED39,DO39)&gt;1,DO39,""),IF(COUNTIF($DK39:$ED39,DO39)&gt;5,DO39,""))</f>
        <v/>
      </c>
      <c r="DP40" s="108" t="str">
        <f t="shared" ref="DP40" si="1217">IF(K39="Hybrid - Thrust + 2 connections",IF(COUNTIF($DK39:$ED39,DP39)&gt;1,DP39,""),IF(COUNTIF($DK39:$ED39,DP39)&gt;5,DP39,""))</f>
        <v/>
      </c>
      <c r="DQ40" s="108" t="str">
        <f t="shared" ref="DQ40" si="1218">IF(L39="Hybrid - Thrust + 2 connections",IF(COUNTIF($DK39:$ED39,DQ39)&gt;1,DQ39,""),IF(COUNTIF($DK39:$ED39,DQ39)&gt;5,DQ39,""))</f>
        <v/>
      </c>
      <c r="DR40" s="108" t="str">
        <f t="shared" ref="DR40" si="1219">IF(M39="Hybrid - Thrust + 2 connections",IF(COUNTIF($DK39:$ED39,DR39)&gt;1,DR39,""),IF(COUNTIF($DK39:$ED39,DR39)&gt;5,DR39,""))</f>
        <v/>
      </c>
      <c r="DS40" s="108" t="str">
        <f t="shared" ref="DS40" si="1220">IF(N39="Hybrid - Thrust + 2 connections",IF(COUNTIF($DK39:$ED39,DS39)&gt;1,DS39,""),IF(COUNTIF($DK39:$ED39,DS39)&gt;5,DS39,""))</f>
        <v/>
      </c>
      <c r="DT40" s="108" t="str">
        <f t="shared" ref="DT40" si="1221">IF(O39="Hybrid - Thrust + 2 connections",IF(COUNTIF($DK39:$ED39,DT39)&gt;1,DT39,""),IF(COUNTIF($DK39:$ED39,DT39)&gt;5,DT39,""))</f>
        <v/>
      </c>
      <c r="DU40" s="108" t="str">
        <f t="shared" ref="DU40" si="1222">IF(P39="Hybrid - Thrust + 2 connections",IF(COUNTIF($DK39:$ED39,DU39)&gt;1,DU39,""),IF(COUNTIF($DK39:$ED39,DU39)&gt;5,DU39,""))</f>
        <v/>
      </c>
      <c r="DV40" s="108" t="str">
        <f t="shared" ref="DV40" si="1223">IF(Q39="Hybrid - Thrust + 2 connections",IF(COUNTIF($DK39:$ED39,DV39)&gt;1,DV39,""),IF(COUNTIF($DK39:$ED39,DV39)&gt;5,DV39,""))</f>
        <v/>
      </c>
      <c r="DW40" s="108" t="str">
        <f t="shared" ref="DW40" si="1224">IF(R39="Hybrid - Thrust + 2 connections",IF(COUNTIF($DK39:$ED39,DW39)&gt;1,DW39,""),IF(COUNTIF($DK39:$ED39,DW39)&gt;5,DW39,""))</f>
        <v/>
      </c>
      <c r="DX40" s="108" t="str">
        <f t="shared" ref="DX40" si="1225">IF(S39="Hybrid - Thrust + 2 connections",IF(COUNTIF($DK39:$ED39,DX39)&gt;1,DX39,""),IF(COUNTIF($DK39:$ED39,DX39)&gt;5,DX39,""))</f>
        <v/>
      </c>
      <c r="DY40" s="108" t="str">
        <f t="shared" ref="DY40" si="1226">IF(T39="Hybrid - Thrust + 2 connections",IF(COUNTIF($DK39:$ED39,DY39)&gt;1,DY39,""),IF(COUNTIF($DK39:$ED39,DY39)&gt;5,DY39,""))</f>
        <v/>
      </c>
      <c r="DZ40" s="108" t="str">
        <f t="shared" ref="DZ40" si="1227">IF(U39="Hybrid - Thrust + 2 connections",IF(COUNTIF($DK39:$ED39,DZ39)&gt;1,DZ39,""),IF(COUNTIF($DK39:$ED39,DZ39)&gt;5,DZ39,""))</f>
        <v/>
      </c>
      <c r="EA40" s="108" t="str">
        <f t="shared" ref="EA40" si="1228">IF(V39="Hybrid - Thrust + 2 connections",IF(COUNTIF($DK39:$ED39,EA39)&gt;1,EA39,""),IF(COUNTIF($DK39:$ED39,EA39)&gt;5,EA39,""))</f>
        <v/>
      </c>
      <c r="EB40" s="108" t="str">
        <f t="shared" ref="EB40" si="1229">IF(W39="Hybrid - Thrust + 2 connections",IF(COUNTIF($DK39:$ED39,EB39)&gt;1,EB39,""),IF(COUNTIF($DK39:$ED39,EB39)&gt;5,EB39,""))</f>
        <v/>
      </c>
      <c r="EC40" s="108" t="str">
        <f t="shared" ref="EC40" si="1230">IF(X39="Hybrid - Thrust + 2 connections",IF(COUNTIF($DK39:$ED39,EC39)&gt;1,EC39,""),IF(COUNTIF($DK39:$ED39,EC39)&gt;5,EC39,""))</f>
        <v/>
      </c>
      <c r="ED40" s="108" t="str">
        <f t="shared" ref="ED40" si="1231">IF(Y39="Hybrid - Thrust + 2 connections",IF(COUNTIF($DK39:$ED39,ED39)&gt;1,ED39,""),IF(COUNTIF($DK39:$ED39,ED39)&gt;5,ED39,""))</f>
        <v/>
      </c>
      <c r="EE40" s="108"/>
      <c r="EF40" s="108" t="str" cm="1">
        <f t="array" ref="EF40">IFERROR(INDEX(EG40:EZ40,MATCH(TRUE,INDEX((EG40:EZ40&lt;&gt;""),),0)),"")</f>
        <v/>
      </c>
      <c r="EG40" s="108" t="str">
        <f t="shared" ref="EG40" si="1232">IF(COUNTIF($EG39:$EZ39,EG39)&gt;3,EG39,"")</f>
        <v/>
      </c>
      <c r="EH40" s="108" t="str">
        <f t="shared" ref="EH40" si="1233">IF(COUNTIF($EG39:$EZ39,EH39)&gt;3,EH39,"")</f>
        <v/>
      </c>
      <c r="EI40" s="108" t="str">
        <f t="shared" ref="EI40" si="1234">IF(COUNTIF($EG39:$EZ39,EI39)&gt;3,EI39,"")</f>
        <v/>
      </c>
      <c r="EJ40" s="108" t="str">
        <f t="shared" ref="EJ40" si="1235">IF(COUNTIF($EG39:$EZ39,EJ39)&gt;3,EJ39,"")</f>
        <v/>
      </c>
      <c r="EK40" s="108" t="str">
        <f t="shared" ref="EK40" si="1236">IF(COUNTIF($EG39:$EZ39,EK39)&gt;3,EK39,"")</f>
        <v/>
      </c>
      <c r="EL40" s="108" t="str">
        <f t="shared" ref="EL40" si="1237">IF(COUNTIF($EG39:$EZ39,EL39)&gt;3,EL39,"")</f>
        <v/>
      </c>
      <c r="EM40" s="108" t="str">
        <f t="shared" ref="EM40" si="1238">IF(COUNTIF($EG39:$EZ39,EM39)&gt;3,EM39,"")</f>
        <v/>
      </c>
      <c r="EN40" s="108" t="str">
        <f t="shared" ref="EN40" si="1239">IF(COUNTIF($EG39:$EZ39,EN39)&gt;3,EN39,"")</f>
        <v/>
      </c>
      <c r="EO40" s="108" t="str">
        <f t="shared" ref="EO40" si="1240">IF(COUNTIF($EG39:$EZ39,EO39)&gt;3,EO39,"")</f>
        <v/>
      </c>
      <c r="EP40" s="108" t="str">
        <f t="shared" ref="EP40" si="1241">IF(COUNTIF($EG39:$EZ39,EP39)&gt;3,EP39,"")</f>
        <v/>
      </c>
      <c r="EQ40" s="108" t="str">
        <f t="shared" ref="EQ40" si="1242">IF(COUNTIF($EG39:$EZ39,EQ39)&gt;3,EQ39,"")</f>
        <v/>
      </c>
      <c r="ER40" s="108" t="str">
        <f t="shared" ref="ER40" si="1243">IF(COUNTIF($EG39:$EZ39,ER39)&gt;3,ER39,"")</f>
        <v/>
      </c>
      <c r="ES40" s="108" t="str">
        <f t="shared" ref="ES40" si="1244">IF(COUNTIF($EG39:$EZ39,ES39)&gt;3,ES39,"")</f>
        <v/>
      </c>
      <c r="ET40" s="108" t="str">
        <f t="shared" ref="ET40" si="1245">IF(COUNTIF($EG39:$EZ39,ET39)&gt;3,ET39,"")</f>
        <v/>
      </c>
      <c r="EU40" s="108" t="str">
        <f t="shared" ref="EU40" si="1246">IF(COUNTIF($EG39:$EZ39,EU39)&gt;3,EU39,"")</f>
        <v/>
      </c>
      <c r="EV40" s="108" t="str">
        <f t="shared" ref="EV40" si="1247">IF(COUNTIF($EG39:$EZ39,EV39)&gt;3,EV39,"")</f>
        <v/>
      </c>
      <c r="EW40" s="108" t="str">
        <f t="shared" ref="EW40" si="1248">IF(COUNTIF($EG39:$EZ39,EW39)&gt;3,EW39,"")</f>
        <v/>
      </c>
      <c r="EX40" s="108" t="str">
        <f t="shared" ref="EX40" si="1249">IF(COUNTIF($EG39:$EZ39,EX39)&gt;3,EX39,"")</f>
        <v/>
      </c>
      <c r="EY40" s="108" t="str">
        <f t="shared" ref="EY40" si="1250">IF(COUNTIF($EG39:$EZ39,EY39)&gt;3,EY39,"")</f>
        <v/>
      </c>
      <c r="EZ40" s="108" t="str">
        <f t="shared" ref="EZ40" si="1251">IF(COUNTIF($EG39:$EZ39,EZ39)&gt;3,EZ39,"")</f>
        <v/>
      </c>
      <c r="FA40" s="108"/>
      <c r="FB40" s="108"/>
      <c r="FC40" s="108"/>
      <c r="FD40" s="108"/>
      <c r="FE40" s="108"/>
      <c r="FF40" s="108"/>
      <c r="FG40" s="108"/>
      <c r="FH40" s="108"/>
      <c r="FI40" s="108" t="str">
        <f t="shared" ref="FI40" si="1252">IF($F39="Hybrid - Thrust + 2 connections",COUNTBLANK(J39:L39),"")</f>
        <v/>
      </c>
      <c r="FJ40" s="108"/>
      <c r="FN40" s="111"/>
    </row>
    <row r="41" spans="1:170" x14ac:dyDescent="0.3">
      <c r="A41" s="40" t="str">
        <f>IF(AND(E39="",A39&lt;&gt;""),IF(BS39=$BS$18,"",IF(C39&lt;&gt;"",IF(D39=59,MINUTE(BS39)+1,MINUTE(BS39)),"")),"")</f>
        <v/>
      </c>
      <c r="B41" s="41" t="str">
        <f>IF(AND(E39="",B39&lt;&gt;""),IF(BS39=$BS$18,"",IF(C39&lt;&gt;"",IF(D39=59,0,SECOND(BS39)+1),"")),"")</f>
        <v/>
      </c>
      <c r="C41" s="51"/>
      <c r="D41" s="51"/>
      <c r="E41" s="9"/>
      <c r="F41" s="52"/>
      <c r="G41" s="43" t="str">
        <f>IF(F41&lt;&gt;"",IF(OR(F41="Transition",F41="Transition - Surface Connection"),0,MAX($G$19:G40)+1),"")</f>
        <v/>
      </c>
      <c r="H41" s="57" t="str">
        <f t="shared" ref="H41" si="1253">IFERROR(IF(E42="3","",IF(OR(F41="Hybrid - min 4 swimmers (no DD)",LEFT(F41,5)="Trans"),"No DD",CONCATENATE("BM = ",I42))),"")</f>
        <v/>
      </c>
      <c r="I41" s="58"/>
      <c r="J41" s="130"/>
      <c r="K41" s="137"/>
      <c r="L41" s="137"/>
      <c r="M41" s="137"/>
      <c r="N41" s="137"/>
      <c r="O41" s="137"/>
      <c r="P41" s="137"/>
      <c r="Q41" s="137"/>
      <c r="R41" s="137"/>
      <c r="S41" s="137"/>
      <c r="T41" s="137"/>
      <c r="U41" s="137"/>
      <c r="V41" s="137"/>
      <c r="W41" s="137"/>
      <c r="X41" s="137"/>
      <c r="Y41" s="137"/>
      <c r="Z41" s="137"/>
      <c r="AA41" s="137"/>
      <c r="AB41" s="137"/>
      <c r="AC41" s="137"/>
      <c r="AD41" s="191"/>
      <c r="AE41" s="44"/>
      <c r="AF41" s="75"/>
      <c r="AG41" s="75"/>
      <c r="AH41" s="110"/>
      <c r="AI41" s="110"/>
      <c r="AJ41" s="110"/>
      <c r="AK41" s="110"/>
      <c r="AL41" s="110"/>
      <c r="AM41" s="110"/>
      <c r="AN41" s="110"/>
      <c r="AO41" s="110"/>
      <c r="AP41" s="110"/>
      <c r="AQ41" s="110"/>
      <c r="AR41" s="110"/>
      <c r="AS41" s="110"/>
      <c r="AT41" s="110" t="str">
        <f>IFERROR(IF(F41&lt;&gt;"",INDEX(Parts_Active,MATCH(F41,Parts_Active,0)),""),"No")</f>
        <v/>
      </c>
      <c r="AU41" s="110"/>
      <c r="AV41" s="110" t="str">
        <f t="shared" ref="AV41" si="1254">IF($E42="H",IF($F41="Hybrid - Thrust + 2 connections","Hybrid_Mix_Req","HybridDD_Code"),IF($E42=3,"TreDD_Code",IF($E42="PA","AcroPair_Code",IF(LEFT($F41,4)="Acro",CONCATENATE(AV$16,$E42,"_Code"),"Data!$BI$1:$BI$5"))))</f>
        <v>Data!$BI$1:$BI$5</v>
      </c>
      <c r="AW41" s="110" t="str">
        <f t="shared" ref="AW41" si="1255">IF($E42="H",IF($F41="Hybrid - Thrust + 2 connections","Hybrid_Mix_Req","HybridDD_Code"),IF($E42=3,"TreDD_Code",IF($E42="PA","AcroPair_Code",IF(LEFT($F41,4)="Acro",CONCATENATE(AW$16,$E42,"_Code"),"Data!$BI$1:$BI$5"))))</f>
        <v>Data!$BI$1:$BI$5</v>
      </c>
      <c r="AX41" s="110" t="str">
        <f t="shared" ref="AX41" si="1256">IF($E42="H",IF($F41="Hybrid - Thrust + 2 connections","Hybrid_Mix_Req","HybridDD_Code"),IF($E42=3,"TreDD_Code",IF($E42="PA","AcroPair_Code",IF(LEFT($F41,4)="Acro",CONCATENATE(AX$16,$E42,"_Code"),"Data!$BI$1:$BI$5"))))</f>
        <v>Data!$BI$1:$BI$5</v>
      </c>
      <c r="AY41" s="110" t="str">
        <f t="shared" ref="AY41" si="1257">IF($E42="H",IF($F41="Hybrid - Thrust + 2 connections","Data!$BI$1:$BI$5","HybridDD_Code"),IF($E42=3,"Data!$BI$1:$BI$5",IF(LEFT($F41,4)="Acro",CONCATENATE(AY$16,$E42,"_Code"),IF($E42="PA","","Data!$BI$1:$BI$5"))))</f>
        <v>Data!$BI$1:$BI$5</v>
      </c>
      <c r="AZ41" s="110" t="str">
        <f t="shared" ref="AZ41" si="1258">IF($E42="H",IF($F41="Hybrid - Thrust + 2 connections","Data!$BI$1:$BI$5","HybridDD_Code"),IF($E42=3,"Data!$BI$1:$BI$5",IF(LEFT($F41,4)="Acro",CONCATENATE(AZ$16,$E42,"_Code"),IF($E42="PA","","Data!$BI$1:$BI$5"))))</f>
        <v>Data!$BI$1:$BI$5</v>
      </c>
      <c r="BA41" s="110" t="str">
        <f t="shared" ref="BA41" si="1259">IF($E42="H",IF($F41="Hybrid - Thrust + 2 connections","Data!$BI$1:$BI$5","HybridDD_Code"),IF($E42=3,"Data!$BI$1:$BI$5",IF(LEFT($F41,4)="Acro",CONCATENATE(BA$16,$E42,"_Code"),IF($E42="PA","","Data!$BI$1:$BI$5"))))</f>
        <v>Data!$BI$1:$BI$5</v>
      </c>
      <c r="BB41" s="110" t="str">
        <f t="shared" ref="BB41" si="1260">IF($E42="H",IF($F41="Hybrid - Thrust + 2 connections","Data!$BI$1:$BI$5","HybridDD_Code"),IF($E42=3,"Data!$BI$1:$BI$5",IF(LEFT($F41,4)="Acro",CONCATENATE(BB$16,$E42,"_Code"),IF($E42="PA","","Data!$BI$1:$BI$5"))))</f>
        <v>Data!$BI$1:$BI$5</v>
      </c>
      <c r="BC41" s="110" t="str">
        <f t="shared" ref="BC41" si="1261">IF($E42="H",IF($F41="Hybrid - Thrust + 2 connections","Data!$BI$1:$BI$5","HybridDD_Code"),IF($E42=3,"Data!$BI$1:$BI$5",IF(LEFT($F41,4)="Acro",CONCATENATE(BC$16,$E42,"_Code"),IF($E42="PA","","Data!$BI$1:$BI$5"))))</f>
        <v>Data!$BI$1:$BI$5</v>
      </c>
      <c r="BD41" s="110" t="str">
        <f t="shared" ref="BD41" si="1262">IF($E42="H",IF($F41="Hybrid - Thrust + 2 connections","Data!$BI$1:$BI$5","HybridDD_Code"),IF($E42=3,"Data!$BI$1:$BI$5",IF(LEFT($F41,4)="Acro",CONCATENATE(BD$16,$E42,"_Code"),IF($E42="PA","","Data!$BI$1:$BI$5"))))</f>
        <v>Data!$BI$1:$BI$5</v>
      </c>
      <c r="BE41" s="110" t="str">
        <f t="shared" ref="BE41" si="1263">IF($E42="H",IF($F41="Hybrid - Thrust + 2 connections","Data!$BI$1:$BI$5","HybridDD_Code"),"Data!$BI$1:$BI$5")</f>
        <v>Data!$BI$1:$BI$5</v>
      </c>
      <c r="BF41" s="110" t="str">
        <f t="shared" si="1139"/>
        <v>Data!$BI$1:$BI$5</v>
      </c>
      <c r="BG41" s="110" t="str">
        <f t="shared" si="1139"/>
        <v>Data!$BI$1:$BI$5</v>
      </c>
      <c r="BH41" s="110" t="str">
        <f t="shared" si="1139"/>
        <v>Data!$BI$1:$BI$5</v>
      </c>
      <c r="BI41" s="110" t="str">
        <f t="shared" si="1139"/>
        <v>Data!$BI$1:$BI$5</v>
      </c>
      <c r="BJ41" s="110" t="str">
        <f t="shared" si="1139"/>
        <v>Data!$BI$1:$BI$5</v>
      </c>
      <c r="BK41" s="110" t="str">
        <f t="shared" si="1139"/>
        <v>Data!$BI$1:$BI$5</v>
      </c>
      <c r="BL41" s="110" t="str">
        <f t="shared" si="1139"/>
        <v>Data!$BI$1:$BI$5</v>
      </c>
      <c r="BM41" s="110" t="str">
        <f t="shared" si="1139"/>
        <v>Data!$BI$1:$BI$5</v>
      </c>
      <c r="BN41" s="110" t="str">
        <f t="shared" si="1139"/>
        <v>Data!$BI$1:$BI$5</v>
      </c>
      <c r="BO41" s="110" t="str">
        <f t="shared" si="1139"/>
        <v>Data!$BI$1:$BI$5</v>
      </c>
      <c r="BP41" s="110"/>
      <c r="BQ41" s="110"/>
      <c r="BR41" s="113" t="str">
        <f t="shared" ref="BR41" si="1264">IFERROR(TIME(0,A41,B41),"")</f>
        <v/>
      </c>
      <c r="BS41" s="114">
        <f>IFERROR(TIME(0,C41,D41),"")</f>
        <v>0</v>
      </c>
      <c r="BT41" s="114" t="str">
        <f t="shared" ref="BT41" si="1265">IF(BS41&gt;$D$12,"X","")</f>
        <v/>
      </c>
      <c r="BU41" s="108" t="str">
        <f>IF(AND(F41="Hybrid - Thrust + 2 connections",OR(LEFT(J41,1)="T",LEFT(K41,1)="T",LEFT(L41,1)="T",LEFT(NG41,1)="T",LEFT(M41,1)="T",LEFT(N41,1)="T",LEFT(O41,1)="T",LEFT(P41,1)="T",LEFT(Q41,1)="T",LEFT(R41,1)="T",LEFT(S41,1)="T",LEFT(T41,1)="T",LEFT(U41,1)="T",LEFT(V41,1)="T",LEFT(W41,1)="T",LEFT(X41,1)="T",LEFT(AA41,1)="T",LEFT(AB41,1)="T",LEFT(AC41,1)="T")),IF(OR(LEN(J41)=2,LEN(K41)=2,LEN(L41)=2,LEN(M41)=2,LEN(N41)=2,LEN(O41)=2,LEN(P41)=2,LEN(Q41)=2,LEN(R41)=2,LEN(S41)=2,LEN(T41)=2,LEN(U41)=2,LEN(V41)=2,LEN(W41)=2,LEN(X41)=2,LEN(Y41)=2,LEN(Z41)=2,LEN(AA41)=2,LEN(AB41)=2,LEN(AC41)=2),"X",""),"")</f>
        <v/>
      </c>
      <c r="BW41" s="108" t="str">
        <f>IF(LEFT(F41,4)="Acro",IF(AND(N41&lt;&gt;"",M41=RIGHT(N41,2)),"X","OK"),"")</f>
        <v/>
      </c>
      <c r="BX41" s="110" t="str">
        <f t="shared" ref="BX41:CE41" si="1266">IFERROR(IF(AND(LEFT($F41,4)="Acro",INDEX(Requ_App,MATCH(AV41,Requ_Code,0))="No"),"X",""),"")</f>
        <v/>
      </c>
      <c r="BY41" s="110" t="str">
        <f t="shared" si="1266"/>
        <v/>
      </c>
      <c r="BZ41" s="110" t="str">
        <f t="shared" si="1266"/>
        <v/>
      </c>
      <c r="CA41" s="110" t="str">
        <f t="shared" si="1266"/>
        <v/>
      </c>
      <c r="CB41" s="110" t="str">
        <f t="shared" si="1266"/>
        <v/>
      </c>
      <c r="CC41" s="110" t="str">
        <f t="shared" si="1266"/>
        <v/>
      </c>
      <c r="CD41" s="110" t="str">
        <f t="shared" si="1266"/>
        <v/>
      </c>
      <c r="CE41" s="110" t="str">
        <f t="shared" si="1266"/>
        <v/>
      </c>
      <c r="CF41" s="110" t="str">
        <f>IFERROR(IF(AND(LEFT($F41,4)="Acro",INDEX(Requ_App,MATCH(BC41,Requ_Code,0))="No"),"X",""),"")</f>
        <v/>
      </c>
      <c r="CG41" s="108" t="str">
        <f t="shared" si="9"/>
        <v/>
      </c>
      <c r="CH41" s="108" t="str">
        <f t="shared" si="10"/>
        <v/>
      </c>
      <c r="CI41" s="108" t="str">
        <f t="shared" si="11"/>
        <v/>
      </c>
      <c r="CJ41" s="108" t="str">
        <f t="shared" si="12"/>
        <v/>
      </c>
      <c r="CN41" s="108">
        <f t="shared" ref="CN41" si="1267">IF(AND(E42="A",OR(Q41="Grip",Q41="Conn",Q41="Catch")),"A1",IF(AND(E42="A",OR(Q41="Hula",Q41="RetSq",Q41="RetPa")),"A2",IF(AND(E42="B",OR(Q41="Twirl",Q41="RotF")),"B1",IF(AND(E42="B",OR(Q41="Moon",Q41="Mov")),"B2",IF(AND(E42="B",Q41="Hold"),"B3",IF(AND(E42="P",OR(Q41="Porp",Q41="Spitch")),"P1",IF(AND(E42="P",OR(Q41="Dive",Q41="Ps1",Q41="Ps1t0.5",Q41="Ps1op",Q41="Ps1t0,5o",Q41="Ps1t1",Q41="CH+")),"P2",IF(AND(E42="P",OR(Q41="Spider",Q41="Climb")),"P3",IF(AND(E42="P",OR(Q41="Fall",Q41="FTurn")),"P4",IF(AND(E42="C",OR(Q41="Jump",Q41="Jump&gt;",Q41="On1Foot",Q41="1F&gt;1F")),"C1",IF(AND(E42="C",OR(Q41="Run",Q41="BRun")),"C2",1)))))))))))</f>
        <v>1</v>
      </c>
      <c r="CO41" s="108">
        <f t="shared" ref="CO41" si="1268">IF(AND(E42="A",OR(R41="Grip",R41="Conn",R41="Catch")),"A1",IF(AND(E42="A",OR(R41="Hula",R41="RetSq",R41="RetPa")),"A2",IF(AND(E42="B",OR(R41="Twirl",R41="RotF")),"B1",IF(AND(E42="B",OR(R41="Moon",R41="Mov")),"B3",IF(AND(E42="B",R41="Hold"),"B2",IF(AND(E42="P",OR(R41="Porp",R41="Spitch")),"P1",IF(AND(E42="P",OR(R41="Dive",R41="Ps1",R41="Ps1t0.5",R41="Ps1op",R41="Ps1t0,5o",R41="Ps1t1",R41="CH+")),"P2",IF(AND(E42="P",OR(R41="Spider",R41="Climb")),"P3",IF(AND(E42="P",OR(R41="Fall",R41="FTurn")),"P4",IF(AND(E42="C",OR(R41="Jump",R41="Jump&gt;",R41="On1Foot",R41="1F&gt;1F")),"C1",IF(AND(E42="C",OR(R41="Run",R41="BRun")),"C2",2)))))))))))</f>
        <v>2</v>
      </c>
      <c r="CP41" s="108" t="str">
        <f t="shared" ref="CP41" si="1269">IF(AND(LEFT(F41,4)="Acro",Q41&lt;&gt;"",OR(Q41=R41,CN41=CO41)),IF(R41="C-Roll","","X"),IF(OR(AND(E42="A",Q41="Catch",R41&lt;&gt;"Dbl"),AND(E42="A",R41="Catch",Q41&lt;&gt;"Dbl")),"X",""))</f>
        <v/>
      </c>
      <c r="CQ41" s="108" t="str">
        <f t="shared" ref="CQ41" si="1270">IF(E42="PA",J41,"")</f>
        <v/>
      </c>
      <c r="CR41" s="108">
        <v>23</v>
      </c>
      <c r="CT41" s="108" t="str">
        <f t="shared" ref="CT41" si="1271">IF(AND($E42="A",COUNTIF($DC$19:$DD$68,DC41)&gt;1),DC41,"")</f>
        <v/>
      </c>
      <c r="CU41" s="108" t="str">
        <f t="shared" ref="CU41" si="1272">IF(AND($E42="A",COUNTIF($DC$19:$DD$68,DD41)&gt;1),DD41,"")</f>
        <v/>
      </c>
      <c r="CV41" s="108" t="str">
        <f t="shared" ref="CV41" ca="1" si="1273">IF(AND($E42="B",COUNTIF($J$19:$J$68,J41)&gt;1),J41,"")</f>
        <v/>
      </c>
      <c r="CW41" s="108" t="str">
        <f t="shared" ref="CW41" ca="1" si="1274">IF(AND($E42="B",COUNTIF($K$19:$K$68,K41)&gt;1),K41,"")</f>
        <v/>
      </c>
      <c r="CX41" s="108" t="str">
        <f t="shared" ref="CX41" ca="1" si="1275">IF(AND($E42="C",COUNTIF($J$19:$J$68,J41)&gt;1),J41,"")</f>
        <v/>
      </c>
      <c r="CY41" s="108" t="str">
        <f t="shared" ref="CY41" ca="1" si="1276">IF(AND($E42="P",COUNTIF($J$19:$J$68,J41)&gt;1),J41,"")</f>
        <v/>
      </c>
      <c r="CZ41" s="108" t="str">
        <f t="shared" ref="CZ41" ca="1" si="1277">IF(AND($E42="P",COUNTIF($K$19:$K$68,K41)&gt;1),K41,"")</f>
        <v/>
      </c>
      <c r="DA41" s="108" t="str">
        <f t="shared" ref="DA41" si="1278">IF(AND($E42="P",COUNTIF($DC$19:$DD$68,DC41)&gt;1),DC41,"")</f>
        <v/>
      </c>
      <c r="DB41" s="108" t="str">
        <f t="shared" ref="DB41" si="1279">IF(AND($E42="P",COUNTIF($DC$19:$DD$68,DD41)&gt;1),DD41,"")</f>
        <v/>
      </c>
      <c r="DC41" s="108" t="str">
        <f t="shared" ref="DC41" si="1280">IFERROR(IF(OR(E42="A",E42="P"),M41,""),"")</f>
        <v/>
      </c>
      <c r="DD41" s="108" t="str">
        <f t="shared" ref="DD41" si="1281">IFERROR(IF(OR(E42="A",E42="P"),RIGHT(N41,2),""),"")</f>
        <v/>
      </c>
      <c r="DF41" s="108" t="str">
        <f t="shared" ref="DF41" si="1282">IF(AND($F$8="Open Team Acrobatic",LEFT(F41,4)="Acro"),E42,"")</f>
        <v/>
      </c>
      <c r="DG41" s="108" t="str">
        <f t="shared" ref="DG41" si="1283">IFERROR(IF(HLOOKUP(DF41,$DD$12:$DG$13,2,FALSE)&gt;2,"X",""),"")</f>
        <v/>
      </c>
      <c r="DI41" s="108" t="str">
        <f t="shared" ref="DI41" si="1284">IF(OR(AND(F41="Hybrid - Thrust + 2 connections",DI42="T"),AND(F41="Hybrid - Free",DI42&lt;&gt;"")),"X","")</f>
        <v/>
      </c>
      <c r="DK41" s="108">
        <f t="shared" ref="DK41" si="1285">IFERROR(IF(AND($E42="H",J41&lt;&gt;""),IF(OR(LEFT(J41,1)="T",LEFT(J41,1)="S",LEFT(J41,1)="A",LEFT(J41,1)="F",LEFT(J41,1)="C"),LEFT(J41,1),"R"),DK$18),"")</f>
        <v>1</v>
      </c>
      <c r="DL41" s="108">
        <f t="shared" ref="DL41" si="1286">IFERROR(IF(AND($E42="H",K41&lt;&gt;""),IF(OR(LEFT(K41,1)="T",LEFT(K41,1)="S",LEFT(K41,1)="A",LEFT(K41,1)="F",LEFT(K41,1)="C"),LEFT(K41,1),"R"),DL$18),"")</f>
        <v>2</v>
      </c>
      <c r="DM41" s="108">
        <f t="shared" ref="DM41" si="1287">IFERROR(IF(AND($E42="H",L41&lt;&gt;""),IF(OR(LEFT(L41,1)="T",LEFT(L41,1)="S",LEFT(L41,1)="A",LEFT(L41,1)="F",LEFT(L41,1)="C"),LEFT(L41,1),"R"),DM$18),"")</f>
        <v>3</v>
      </c>
      <c r="DN41" s="108">
        <f t="shared" ref="DN41" si="1288">IFERROR(IF(AND($E42="H",M41&lt;&gt;""),IF(OR(LEFT(M41,1)="T",LEFT(M41,1)="S",LEFT(M41,1)="A",LEFT(M41,1)="F",LEFT(M41,1)="C"),LEFT(M41,1),"R"),DN$18),"")</f>
        <v>4</v>
      </c>
      <c r="DO41" s="108">
        <f t="shared" ref="DO41" si="1289">IFERROR(IF(AND($E42="H",N41&lt;&gt;""),IF(OR(LEFT(N41,1)="T",LEFT(N41,1)="S",LEFT(N41,1)="A",LEFT(N41,1)="F",LEFT(N41,1)="C"),LEFT(N41,1),"R"),DO$18),"")</f>
        <v>5</v>
      </c>
      <c r="DP41" s="108">
        <f t="shared" ref="DP41" si="1290">IFERROR(IF(AND($E42="H",O41&lt;&gt;""),IF(OR(LEFT(O41,1)="T",LEFT(O41,1)="S",LEFT(O41,1)="A",LEFT(O41,1)="F",LEFT(O41,1)="C"),LEFT(O41,1),"R"),DP$18),"")</f>
        <v>6</v>
      </c>
      <c r="DQ41" s="108">
        <f t="shared" ref="DQ41" si="1291">IFERROR(IF(AND($E42="H",P41&lt;&gt;""),IF(OR(LEFT(P41,1)="T",LEFT(P41,1)="S",LEFT(P41,1)="A",LEFT(P41,1)="F",LEFT(P41,1)="C"),LEFT(P41,1),"R"),DQ$18),"")</f>
        <v>7</v>
      </c>
      <c r="DR41" s="108">
        <f t="shared" ref="DR41" si="1292">IFERROR(IF(AND($E42="H",Q41&lt;&gt;""),IF(OR(LEFT(Q41,1)="T",LEFT(Q41,1)="S",LEFT(Q41,1)="A",LEFT(Q41,1)="F",LEFT(Q41,1)="C"),LEFT(Q41,1),"R"),DR$18),"")</f>
        <v>8</v>
      </c>
      <c r="DS41" s="108">
        <f t="shared" ref="DS41" si="1293">IFERROR(IF(AND($E42="H",R41&lt;&gt;""),IF(OR(LEFT(R41,1)="T",LEFT(R41,1)="S",LEFT(R41,1)="A",LEFT(R41,1)="F",LEFT(R41,1)="C"),LEFT(R41,1),"R"),DS$18),"")</f>
        <v>9</v>
      </c>
      <c r="DT41" s="108">
        <f t="shared" ref="DT41" si="1294">IFERROR(IF(AND($E42="H",S41&lt;&gt;""),IF(OR(LEFT(S41,1)="T",LEFT(S41,1)="S",LEFT(S41,1)="A",LEFT(S41,1)="F",LEFT(S41,1)="C"),LEFT(S41,1),"R"),DT$18),"")</f>
        <v>10</v>
      </c>
      <c r="DU41" s="108">
        <f t="shared" ref="DU41" si="1295">IFERROR(IF(AND($E42="H",T41&lt;&gt;""),IF(OR(LEFT(T41,1)="T",LEFT(T41,1)="S",LEFT(T41,1)="A",LEFT(T41,1)="F",LEFT(T41,1)="C"),LEFT(T41,1),"R"),DU$18),"")</f>
        <v>11</v>
      </c>
      <c r="DV41" s="108">
        <f t="shared" ref="DV41" si="1296">IFERROR(IF(AND($E42="H",U41&lt;&gt;""),IF(OR(LEFT(U41,1)="T",LEFT(U41,1)="S",LEFT(U41,1)="A",LEFT(U41,1)="F",LEFT(U41,1)="C"),LEFT(U41,1),"R"),DV$18),"")</f>
        <v>12</v>
      </c>
      <c r="DW41" s="108">
        <f t="shared" ref="DW41" si="1297">IFERROR(IF(AND($E42="H",V41&lt;&gt;""),IF(OR(LEFT(V41,1)="T",LEFT(V41,1)="S",LEFT(V41,1)="A",LEFT(V41,1)="F",LEFT(V41,1)="C"),LEFT(V41,1),"R"),DW$18),"")</f>
        <v>13</v>
      </c>
      <c r="DX41" s="108">
        <f t="shared" ref="DX41" si="1298">IFERROR(IF(AND($E42="H",W41&lt;&gt;""),IF(OR(LEFT(W41,1)="T",LEFT(W41,1)="S",LEFT(W41,1)="A",LEFT(W41,1)="F",LEFT(W41,1)="C"),LEFT(W41,1),"R"),DX$18),"")</f>
        <v>14</v>
      </c>
      <c r="DY41" s="108">
        <f t="shared" ref="DY41" si="1299">IFERROR(IF(AND($E42="H",X41&lt;&gt;""),IF(OR(LEFT(X41,1)="T",LEFT(X41,1)="S",LEFT(X41,1)="A",LEFT(X41,1)="F",LEFT(X41,1)="C"),LEFT(X41,1),"R"),DY$18),"")</f>
        <v>15</v>
      </c>
      <c r="DZ41" s="108">
        <f t="shared" ref="DZ41" si="1300">IFERROR(IF(AND($E42="H",Y41&lt;&gt;""),IF(OR(LEFT(Y41,1)="T",LEFT(Y41,1)="S",LEFT(Y41,1)="A",LEFT(Y41,1)="F",LEFT(Y41,1)="C"),LEFT(Y41,1),"R"),DZ$18),"")</f>
        <v>16</v>
      </c>
      <c r="EA41" s="108">
        <f t="shared" ref="EA41" si="1301">IFERROR(IF(AND($E42="H",Z41&lt;&gt;""),IF(OR(LEFT(Z41,1)="T",LEFT(Z41,1)="S",LEFT(Z41,1)="A",LEFT(Z41,1)="F",LEFT(Z41,1)="C"),LEFT(Z41,1),"R"),EA$18),"")</f>
        <v>17</v>
      </c>
      <c r="EB41" s="108">
        <f t="shared" ref="EB41" si="1302">IFERROR(IF(AND($E42="H",AA41&lt;&gt;""),IF(OR(LEFT(AA41,1)="T",LEFT(AA41,1)="S",LEFT(AA41,1)="A",LEFT(AA41,1)="F",LEFT(AA41,1)="C"),LEFT(AA41,1),"R"),EB$18),"")</f>
        <v>18</v>
      </c>
      <c r="EC41" s="108">
        <f t="shared" ref="EC41" si="1303">IFERROR(IF(AND($E42="H",AB41&lt;&gt;""),IF(OR(LEFT(AB41,1)="T",LEFT(AB41,1)="S",LEFT(AB41,1)="A",LEFT(AB41,1)="F",LEFT(AB41,1)="C"),LEFT(AB41,1),"R"),EC$18),"")</f>
        <v>19</v>
      </c>
      <c r="ED41" s="108">
        <f t="shared" ref="ED41" si="1304">IFERROR(IF(AND($E42="H",AC41&lt;&gt;""),IF(OR(LEFT(AC41,1)="T",LEFT(AC41,1)="S",LEFT(AC41,1)="A",LEFT(AC41,1)="F",LEFT(AC41,1)="C"),LEFT(AC41,1),"R"),ED$18),"")</f>
        <v>20</v>
      </c>
      <c r="EE41" s="108"/>
      <c r="EF41" s="108"/>
      <c r="EG41" s="108">
        <f t="shared" ref="EG41:EZ41" si="1305">IFERROR(IF(J41&lt;&gt;"",UPPER(J41),EG$18),EG$18)</f>
        <v>1</v>
      </c>
      <c r="EH41" s="108">
        <f t="shared" si="1305"/>
        <v>2</v>
      </c>
      <c r="EI41" s="108">
        <f t="shared" si="1305"/>
        <v>3</v>
      </c>
      <c r="EJ41" s="108">
        <f t="shared" si="1305"/>
        <v>4</v>
      </c>
      <c r="EK41" s="108">
        <f t="shared" si="1305"/>
        <v>5</v>
      </c>
      <c r="EL41" s="108">
        <f t="shared" si="1305"/>
        <v>6</v>
      </c>
      <c r="EM41" s="108">
        <f t="shared" si="1305"/>
        <v>7</v>
      </c>
      <c r="EN41" s="108">
        <f t="shared" si="1305"/>
        <v>8</v>
      </c>
      <c r="EO41" s="108">
        <f t="shared" si="1305"/>
        <v>9</v>
      </c>
      <c r="EP41" s="108">
        <f t="shared" si="1305"/>
        <v>10</v>
      </c>
      <c r="EQ41" s="108">
        <f t="shared" si="1305"/>
        <v>11</v>
      </c>
      <c r="ER41" s="108">
        <f t="shared" si="1305"/>
        <v>12</v>
      </c>
      <c r="ES41" s="108">
        <f t="shared" si="1305"/>
        <v>13</v>
      </c>
      <c r="ET41" s="108">
        <f t="shared" si="1305"/>
        <v>14</v>
      </c>
      <c r="EU41" s="108">
        <f t="shared" si="1305"/>
        <v>15</v>
      </c>
      <c r="EV41" s="108">
        <f t="shared" si="1305"/>
        <v>16</v>
      </c>
      <c r="EW41" s="108">
        <f t="shared" si="1305"/>
        <v>17</v>
      </c>
      <c r="EX41" s="108">
        <f t="shared" si="1305"/>
        <v>18</v>
      </c>
      <c r="EY41" s="108">
        <f t="shared" si="1305"/>
        <v>19</v>
      </c>
      <c r="EZ41" s="108">
        <f t="shared" si="1305"/>
        <v>20</v>
      </c>
      <c r="FA41" s="108"/>
      <c r="FB41" s="108">
        <f t="shared" ref="FB41" si="1306">COUNTIF($DK41:$ED41,FB$18)</f>
        <v>0</v>
      </c>
      <c r="FC41" s="108">
        <f t="shared" si="934"/>
        <v>0</v>
      </c>
      <c r="FD41" s="108">
        <f t="shared" si="934"/>
        <v>0</v>
      </c>
      <c r="FE41" s="108">
        <f t="shared" si="934"/>
        <v>0</v>
      </c>
      <c r="FF41" s="108">
        <f t="shared" si="934"/>
        <v>0</v>
      </c>
      <c r="FG41" s="108">
        <f t="shared" si="934"/>
        <v>0</v>
      </c>
      <c r="FH41" s="108"/>
      <c r="FI41" s="108" t="str">
        <f t="shared" ref="FI41" si="1307">IF(AND($F41="Hybrid - Thrust + 2 connections",FI42=0,LEFT($J41,1)="C",LEFT($K41,1)="C",LEFT($L41,1)="C"),"X","")</f>
        <v/>
      </c>
      <c r="FJ41" s="108"/>
      <c r="FL41" s="120" t="e">
        <f>IF(OR(LEFT(#REF!,2)="PL",LEFT(#REF!,2)="PL",LEFT(#REF!,2)="PL",LEFT(#REF!,2)="PL",LEFT(#REF!,2)="PL"),IF($BS$17-BR41&gt;$FL$17,"X",""),"")</f>
        <v>#REF!</v>
      </c>
      <c r="FM41" s="120"/>
      <c r="FN41" s="111" t="str">
        <f>IF(E42=3,_xlfn.NUMBERVALUE(LEFT(J41,1)),"")</f>
        <v/>
      </c>
    </row>
    <row r="42" spans="1:170" x14ac:dyDescent="0.3">
      <c r="A42" s="40"/>
      <c r="B42" s="41"/>
      <c r="C42" s="41"/>
      <c r="D42" s="41"/>
      <c r="E42" s="21" t="str">
        <f t="shared" ref="E42" si="1308">IF(F41="Acrobatic - Pair","PA",IF(F41="Acrobatic Airborn","A",IF(F41="Acrobatic Balance","B",IF(F41="Acrobatic Combined","C",IF(F41="Acrobatic Platform","P",IF(F41="Technical Required Element",3,IF(LEFT(F41,4)="Hybr","H","")))))))</f>
        <v/>
      </c>
      <c r="F42" s="21" t="str">
        <f>IF(AND(F41="Hybrid - Thrust + 2 connections",BU41="X"),"Hybrid - Thrust",IF(OR(E42="A",E42="B",E42="C",E42="P"),"Acrobatic",""))</f>
        <v/>
      </c>
      <c r="G42" s="43"/>
      <c r="H42" s="222" t="str">
        <f t="shared" ref="H42" si="1309">IF(E42="PA",IF(OR(LEFT(J41,1)="L",LEFT(J41,1)="S"),"A-Pair-Lift",IF(OR(LEFT(J41,1)="W",LEFT(J41,1)="T"),"A-Pair-Throw",IF(LEFT(J41,1)="J","A-Pair-Jump","A-Pair"))),IF(OR(E42="A",E42="B",E42="C",E42="P"),CONCATENATE("Acro-",E42),""))</f>
        <v/>
      </c>
      <c r="I42" s="216" t="e">
        <f t="shared" ref="I42" si="1310">IF(OR(F41="Hybrid - min 4 swimmers (no DD)",LEFT(F41,5)="Trans"),0,INDEX($BV$3:$BV$9,MATCH(E42,$BU$3:$BU$9,0)))</f>
        <v>#N/A</v>
      </c>
      <c r="J42" s="210">
        <f t="shared" ref="J42" ca="1" si="1311">IFERROR(IF($H41="No DD",0,IF(OR(ISBLANK(J41),J41="N/A"),0,INDEX(INDIRECT(AV42),MATCH(J41,INDIRECT(AV41),0)))),0)</f>
        <v>0</v>
      </c>
      <c r="K42" s="210">
        <f t="shared" ref="K42" ca="1" si="1312">IFERROR(IF($H41="No DD",0,IF(OR(ISBLANK(K41),K41="N/A"),0,INDEX(INDIRECT(AW42),MATCH(K41,INDIRECT(AW41),0)))),0)</f>
        <v>0</v>
      </c>
      <c r="L42" s="210">
        <f t="shared" ref="L42" ca="1" si="1313">IFERROR(IF($H41="No DD",0,IF(OR(ISBLANK(L41),L41="N/A"),0,INDEX(INDIRECT(AX42),MATCH(L41,INDIRECT(AX41),0)))),0)</f>
        <v>0</v>
      </c>
      <c r="M42" s="210">
        <f t="shared" ref="M42" ca="1" si="1314">IFERROR(IF($H41="No DD",0,IF(OR(ISBLANK(M41),M41="N/A"),0,INDEX(INDIRECT(AY42),MATCH(M41,INDIRECT(AY41),0)))),0)</f>
        <v>0</v>
      </c>
      <c r="N42" s="210">
        <f t="shared" ref="N42" ca="1" si="1315">IFERROR(IF($H41="No DD",0,IF(OR(ISBLANK(N41),N41="N/A"),0,INDEX(INDIRECT(AZ42),MATCH(N41,INDIRECT(AZ41),0)))),0)</f>
        <v>0</v>
      </c>
      <c r="O42" s="210">
        <f t="shared" ref="O42" ca="1" si="1316">IFERROR(IF($H41="No DD",0,IF(OR(ISBLANK(O41),O41="N/A"),0,INDEX(INDIRECT(BA42),MATCH(O41,INDIRECT(BA41),0)))),0)</f>
        <v>0</v>
      </c>
      <c r="P42" s="210">
        <f t="shared" ref="P42" ca="1" si="1317">IFERROR(IF($H41="No DD",0,IF(OR(ISBLANK(P41),P41="N/A"),0,INDEX(INDIRECT(BB42),MATCH(P41,INDIRECT(BB41),0)))),0)</f>
        <v>0</v>
      </c>
      <c r="Q42" s="210">
        <f t="shared" ref="Q42" ca="1" si="1318">IFERROR(IF($H41="No DD",0,IF(OR(ISBLANK(Q41),Q41="N/A"),0,INDEX(INDIRECT(BC42),MATCH(Q41,INDIRECT(BC41),0)))),0)</f>
        <v>0</v>
      </c>
      <c r="R42" s="210">
        <f t="shared" ref="R42" ca="1" si="1319">IFERROR(IF($H41="No DD",0,IF(OR(ISBLANK(R41),R41="N/A"),0,INDEX(INDIRECT(BD42),MATCH(R41,INDIRECT(BD41),0)))),0)</f>
        <v>0</v>
      </c>
      <c r="S42" s="210">
        <f t="shared" ref="S42" ca="1" si="1320">IFERROR(IF($H41="No DD",0,IF(OR(ISBLANK(S41),S41="N/A"),0,INDEX(INDIRECT(BE42),MATCH(S41,INDIRECT(BE41),0)))),0)</f>
        <v>0</v>
      </c>
      <c r="T42" s="210">
        <f t="shared" ref="T42" ca="1" si="1321">IFERROR(IF($H41="No DD",0,IF(OR(ISBLANK(T41),T41="N/A"),0,INDEX(INDIRECT(BF42),MATCH(T41,INDIRECT(BF41),0)))),0)</f>
        <v>0</v>
      </c>
      <c r="U42" s="210">
        <f t="shared" ref="U42" ca="1" si="1322">IFERROR(IF($H41="No DD",0,IF(OR(ISBLANK(U41),U41="N/A"),0,INDEX(INDIRECT(BG42),MATCH(U41,INDIRECT(BG41),0)))),0)</f>
        <v>0</v>
      </c>
      <c r="V42" s="210">
        <f t="shared" ref="V42" ca="1" si="1323">IFERROR(IF($H41="No DD",0,IF(OR(ISBLANK(V41),V41="N/A"),0,INDEX(INDIRECT(BH42),MATCH(V41,INDIRECT(BH41),0)))),0)</f>
        <v>0</v>
      </c>
      <c r="W42" s="210">
        <f t="shared" ref="W42" ca="1" si="1324">IFERROR(IF($H41="No DD",0,IF(OR(ISBLANK(W41),W41="N/A"),0,INDEX(INDIRECT(BI42),MATCH(W41,INDIRECT(BI41),0)))),0)</f>
        <v>0</v>
      </c>
      <c r="X42" s="210">
        <f t="shared" ref="X42" ca="1" si="1325">IFERROR(IF($H41="No DD",0,IF(OR(ISBLANK(X41),X41="N/A"),0,INDEX(INDIRECT(BJ42),MATCH(X41,INDIRECT(BJ41),0)))),0)</f>
        <v>0</v>
      </c>
      <c r="Y42" s="210">
        <f t="shared" ref="Y42" ca="1" si="1326">IFERROR(IF($H41="No DD",0,IF(OR(ISBLANK(Y41),Y41="N/A"),0,INDEX(INDIRECT(BK42),MATCH(Y41,INDIRECT(BK41),0)))),0)</f>
        <v>0</v>
      </c>
      <c r="Z42" s="210">
        <f t="shared" ref="Z42" ca="1" si="1327">IFERROR(IF($H41="No DD",0,IF(OR(ISBLANK(Z41),Z41="N/A"),0,INDEX(INDIRECT(BL42),MATCH(Z41,INDIRECT(BL41),0)))),0)</f>
        <v>0</v>
      </c>
      <c r="AA42" s="210">
        <f t="shared" ref="AA42" ca="1" si="1328">IFERROR(IF($H41="No DD",0,IF(OR(ISBLANK(AA41),AA41="N/A"),0,INDEX(INDIRECT(BM42),MATCH(AA41,INDIRECT(BM41),0)))),0)</f>
        <v>0</v>
      </c>
      <c r="AB42" s="210">
        <f t="shared" ref="AB42" ca="1" si="1329">IFERROR(IF($H41="No DD",0,IF(OR(ISBLANK(AB41),AB41="N/A"),0,INDEX(INDIRECT(BN42),MATCH(AB41,INDIRECT(BN41),0)))),0)</f>
        <v>0</v>
      </c>
      <c r="AC42" s="210">
        <f t="shared" ref="AC42" ca="1" si="1330">IFERROR(IF($H41="No DD",0,IF(OR(ISBLANK(AC41),AC41="N/A"),0,INDEX(INDIRECT(BO42),MATCH(AC41,INDIRECT(BO41),0)))),0)</f>
        <v>0</v>
      </c>
      <c r="AD42" s="211" t="str">
        <f>IFERROR(IF(E42="H",INDEX(HybridBonus_Value,MATCH(AD41,HybridBonus_Code,0)),""),"")</f>
        <v/>
      </c>
      <c r="AE42" s="209" t="str">
        <f t="shared" ref="AE42" si="1331">IFERROR(IF(J41&lt;&gt;"",SUM(I42:AD42),""),"")</f>
        <v/>
      </c>
      <c r="AF42" s="76"/>
      <c r="AG42" s="76"/>
      <c r="AH42" s="121"/>
      <c r="AI42" s="121"/>
      <c r="AJ42" s="121"/>
      <c r="AK42" s="121"/>
      <c r="AL42" s="121"/>
      <c r="AM42" s="121"/>
      <c r="AN42" s="121"/>
      <c r="AO42" s="121"/>
      <c r="AP42" s="121"/>
      <c r="AQ42" s="121"/>
      <c r="AR42" s="121"/>
      <c r="AS42" s="121"/>
      <c r="AT42" s="110"/>
      <c r="AU42" s="121"/>
      <c r="AV42" s="111" t="str">
        <f t="shared" ref="AV42" si="1332">IF($E42="H","HybridDD_Value",IF($E42=3,"TreDD_Value",IF($E42="PA","AcroPair_Value",IF(LEFT($F41,4)="Acro",CONCATENATE(AV$16,$E42,"_Value"),""))))</f>
        <v/>
      </c>
      <c r="AW42" s="111" t="str">
        <f t="shared" ref="AW42:AX42" si="1333">IF($E42="H","HybridDD_Value",IF($E42=3,"",IF(LEFT($F41,4)="Acro",CONCATENATE(AW$16,$E42,"_Value"),IF($E42="PA","",""))))</f>
        <v/>
      </c>
      <c r="AX42" s="111" t="str">
        <f t="shared" si="1333"/>
        <v/>
      </c>
      <c r="AY42" s="111" t="str">
        <f t="shared" ref="AY42:BD42" si="1334">IF($E42="H","HybridDD_Value",IF($E42=3,"",IF(LEFT($F41,4)="Acro",CONCATENATE(AY$16,$E42,"_Value"),IF($E42="PA","",""))))</f>
        <v/>
      </c>
      <c r="AZ42" s="111" t="str">
        <f t="shared" si="1334"/>
        <v/>
      </c>
      <c r="BA42" s="111" t="str">
        <f t="shared" si="1334"/>
        <v/>
      </c>
      <c r="BB42" s="111" t="str">
        <f t="shared" si="1334"/>
        <v/>
      </c>
      <c r="BC42" s="111" t="str">
        <f t="shared" si="1334"/>
        <v/>
      </c>
      <c r="BD42" s="111" t="str">
        <f t="shared" si="1334"/>
        <v/>
      </c>
      <c r="BE42" s="110" t="str">
        <f t="shared" ref="BE42" si="1335">IF($E42="H","HybridDD_Value","Data!$BI$1:$BI$5")</f>
        <v>Data!$BI$1:$BI$5</v>
      </c>
      <c r="BF42" s="110" t="str">
        <f t="shared" si="1139"/>
        <v>Data!$BI$1:$BI$5</v>
      </c>
      <c r="BG42" s="110" t="str">
        <f t="shared" si="1139"/>
        <v>Data!$BI$1:$BI$5</v>
      </c>
      <c r="BH42" s="110" t="str">
        <f t="shared" si="1139"/>
        <v>Data!$BI$1:$BI$5</v>
      </c>
      <c r="BI42" s="110" t="str">
        <f t="shared" si="1139"/>
        <v>Data!$BI$1:$BI$5</v>
      </c>
      <c r="BJ42" s="110" t="str">
        <f t="shared" si="1139"/>
        <v>Data!$BI$1:$BI$5</v>
      </c>
      <c r="BK42" s="110" t="str">
        <f t="shared" si="1139"/>
        <v>Data!$BI$1:$BI$5</v>
      </c>
      <c r="BL42" s="110" t="str">
        <f t="shared" si="1139"/>
        <v>Data!$BI$1:$BI$5</v>
      </c>
      <c r="BM42" s="110" t="str">
        <f t="shared" si="1139"/>
        <v>Data!$BI$1:$BI$5</v>
      </c>
      <c r="BN42" s="110" t="str">
        <f t="shared" si="1139"/>
        <v>Data!$BI$1:$BI$5</v>
      </c>
      <c r="BO42" s="110" t="str">
        <f t="shared" si="1139"/>
        <v>Data!$BI$1:$BI$5</v>
      </c>
      <c r="BP42" s="121"/>
      <c r="BQ42" s="121"/>
      <c r="BR42" s="122" t="str">
        <f>IFERROR(IF(AND($BS$6="T",$BS$8="T",LEFT(F41,4)="Acro",AE42&gt;3),"X",IF($N$7="X",IF(AND(E42="C",AE42&gt;$CA$6),"X",IF(AND(E42="A",AE42&gt;$CA$4),"X",IF(AND(E42="B",AE42&gt;$CA$5),"X",IF(AND(E42="P",AE42&gt;$CA$7),"X","")))),"")),"")</f>
        <v/>
      </c>
      <c r="BS42" s="114"/>
      <c r="BU42" s="108"/>
      <c r="CA42" s="111"/>
      <c r="CB42" s="111"/>
      <c r="CC42" s="111"/>
      <c r="CG42" s="108" t="str">
        <f t="shared" si="9"/>
        <v/>
      </c>
      <c r="CH42" s="108" t="str">
        <f t="shared" si="10"/>
        <v/>
      </c>
      <c r="CI42" s="108" t="str">
        <f t="shared" si="11"/>
        <v/>
      </c>
      <c r="CJ42" s="108" t="str">
        <f t="shared" si="12"/>
        <v/>
      </c>
      <c r="CR42" s="108">
        <v>24</v>
      </c>
      <c r="DI42" s="108" t="str" cm="1">
        <f t="array" ref="DI42">IFERROR(INDEX(DK42:ED42,MATCH(TRUE,INDEX((DK42:ED42&lt;&gt;""),),0)),"")</f>
        <v/>
      </c>
      <c r="DK42" s="108" t="str">
        <f t="shared" ref="DK42" si="1336">IF(F41="Hybrid - Thrust + 2 connections",IF(COUNTIF($DK41:$ED41,DK41)&gt;1,DK41,""),IF(COUNTIF($DK41:$ED41,DK41)&gt;5,DK41,""))</f>
        <v/>
      </c>
      <c r="DL42" s="108" t="str">
        <f t="shared" ref="DL42" si="1337">IF(G41="Hybrid - Thrust + 2 connections",IF(COUNTIF($DK41:$ED41,DL41)&gt;1,DL41,""),IF(COUNTIF($DK41:$ED41,DL41)&gt;5,DL41,""))</f>
        <v/>
      </c>
      <c r="DM42" s="108" t="str">
        <f t="shared" ref="DM42" si="1338">IF(H41="Hybrid - Thrust + 2 connections",IF(COUNTIF($DK41:$ED41,DM41)&gt;1,DM41,""),IF(COUNTIF($DK41:$ED41,DM41)&gt;5,DM41,""))</f>
        <v/>
      </c>
      <c r="DN42" s="108" t="str">
        <f t="shared" ref="DN42" si="1339">IF(I41="Hybrid - Thrust + 2 connections",IF(COUNTIF($DK41:$ED41,DN41)&gt;1,DN41,""),IF(COUNTIF($DK41:$ED41,DN41)&gt;5,DN41,""))</f>
        <v/>
      </c>
      <c r="DO42" s="108" t="str">
        <f t="shared" ref="DO42" si="1340">IF(J41="Hybrid - Thrust + 2 connections",IF(COUNTIF($DK41:$ED41,DO41)&gt;1,DO41,""),IF(COUNTIF($DK41:$ED41,DO41)&gt;5,DO41,""))</f>
        <v/>
      </c>
      <c r="DP42" s="108" t="str">
        <f t="shared" ref="DP42" si="1341">IF(K41="Hybrid - Thrust + 2 connections",IF(COUNTIF($DK41:$ED41,DP41)&gt;1,DP41,""),IF(COUNTIF($DK41:$ED41,DP41)&gt;5,DP41,""))</f>
        <v/>
      </c>
      <c r="DQ42" s="108" t="str">
        <f t="shared" ref="DQ42" si="1342">IF(L41="Hybrid - Thrust + 2 connections",IF(COUNTIF($DK41:$ED41,DQ41)&gt;1,DQ41,""),IF(COUNTIF($DK41:$ED41,DQ41)&gt;5,DQ41,""))</f>
        <v/>
      </c>
      <c r="DR42" s="108" t="str">
        <f t="shared" ref="DR42" si="1343">IF(M41="Hybrid - Thrust + 2 connections",IF(COUNTIF($DK41:$ED41,DR41)&gt;1,DR41,""),IF(COUNTIF($DK41:$ED41,DR41)&gt;5,DR41,""))</f>
        <v/>
      </c>
      <c r="DS42" s="108" t="str">
        <f t="shared" ref="DS42" si="1344">IF(N41="Hybrid - Thrust + 2 connections",IF(COUNTIF($DK41:$ED41,DS41)&gt;1,DS41,""),IF(COUNTIF($DK41:$ED41,DS41)&gt;5,DS41,""))</f>
        <v/>
      </c>
      <c r="DT42" s="108" t="str">
        <f t="shared" ref="DT42" si="1345">IF(O41="Hybrid - Thrust + 2 connections",IF(COUNTIF($DK41:$ED41,DT41)&gt;1,DT41,""),IF(COUNTIF($DK41:$ED41,DT41)&gt;5,DT41,""))</f>
        <v/>
      </c>
      <c r="DU42" s="108" t="str">
        <f t="shared" ref="DU42" si="1346">IF(P41="Hybrid - Thrust + 2 connections",IF(COUNTIF($DK41:$ED41,DU41)&gt;1,DU41,""),IF(COUNTIF($DK41:$ED41,DU41)&gt;5,DU41,""))</f>
        <v/>
      </c>
      <c r="DV42" s="108" t="str">
        <f t="shared" ref="DV42" si="1347">IF(Q41="Hybrid - Thrust + 2 connections",IF(COUNTIF($DK41:$ED41,DV41)&gt;1,DV41,""),IF(COUNTIF($DK41:$ED41,DV41)&gt;5,DV41,""))</f>
        <v/>
      </c>
      <c r="DW42" s="108" t="str">
        <f t="shared" ref="DW42" si="1348">IF(R41="Hybrid - Thrust + 2 connections",IF(COUNTIF($DK41:$ED41,DW41)&gt;1,DW41,""),IF(COUNTIF($DK41:$ED41,DW41)&gt;5,DW41,""))</f>
        <v/>
      </c>
      <c r="DX42" s="108" t="str">
        <f t="shared" ref="DX42" si="1349">IF(S41="Hybrid - Thrust + 2 connections",IF(COUNTIF($DK41:$ED41,DX41)&gt;1,DX41,""),IF(COUNTIF($DK41:$ED41,DX41)&gt;5,DX41,""))</f>
        <v/>
      </c>
      <c r="DY42" s="108" t="str">
        <f t="shared" ref="DY42" si="1350">IF(T41="Hybrid - Thrust + 2 connections",IF(COUNTIF($DK41:$ED41,DY41)&gt;1,DY41,""),IF(COUNTIF($DK41:$ED41,DY41)&gt;5,DY41,""))</f>
        <v/>
      </c>
      <c r="DZ42" s="108" t="str">
        <f t="shared" ref="DZ42" si="1351">IF(U41="Hybrid - Thrust + 2 connections",IF(COUNTIF($DK41:$ED41,DZ41)&gt;1,DZ41,""),IF(COUNTIF($DK41:$ED41,DZ41)&gt;5,DZ41,""))</f>
        <v/>
      </c>
      <c r="EA42" s="108" t="str">
        <f t="shared" ref="EA42" si="1352">IF(V41="Hybrid - Thrust + 2 connections",IF(COUNTIF($DK41:$ED41,EA41)&gt;1,EA41,""),IF(COUNTIF($DK41:$ED41,EA41)&gt;5,EA41,""))</f>
        <v/>
      </c>
      <c r="EB42" s="108" t="str">
        <f t="shared" ref="EB42" si="1353">IF(W41="Hybrid - Thrust + 2 connections",IF(COUNTIF($DK41:$ED41,EB41)&gt;1,EB41,""),IF(COUNTIF($DK41:$ED41,EB41)&gt;5,EB41,""))</f>
        <v/>
      </c>
      <c r="EC42" s="108" t="str">
        <f t="shared" ref="EC42" si="1354">IF(X41="Hybrid - Thrust + 2 connections",IF(COUNTIF($DK41:$ED41,EC41)&gt;1,EC41,""),IF(COUNTIF($DK41:$ED41,EC41)&gt;5,EC41,""))</f>
        <v/>
      </c>
      <c r="ED42" s="108" t="str">
        <f t="shared" ref="ED42" si="1355">IF(Y41="Hybrid - Thrust + 2 connections",IF(COUNTIF($DK41:$ED41,ED41)&gt;1,ED41,""),IF(COUNTIF($DK41:$ED41,ED41)&gt;5,ED41,""))</f>
        <v/>
      </c>
      <c r="EE42" s="108"/>
      <c r="EF42" s="108" t="str" cm="1">
        <f t="array" ref="EF42">IFERROR(INDEX(EG42:EZ42,MATCH(TRUE,INDEX((EG42:EZ42&lt;&gt;""),),0)),"")</f>
        <v/>
      </c>
      <c r="EG42" s="108" t="str">
        <f t="shared" ref="EG42" si="1356">IF(COUNTIF($EG41:$EZ41,EG41)&gt;3,EG41,"")</f>
        <v/>
      </c>
      <c r="EH42" s="108" t="str">
        <f t="shared" ref="EH42" si="1357">IF(COUNTIF($EG41:$EZ41,EH41)&gt;3,EH41,"")</f>
        <v/>
      </c>
      <c r="EI42" s="108" t="str">
        <f t="shared" ref="EI42" si="1358">IF(COUNTIF($EG41:$EZ41,EI41)&gt;3,EI41,"")</f>
        <v/>
      </c>
      <c r="EJ42" s="108" t="str">
        <f t="shared" ref="EJ42" si="1359">IF(COUNTIF($EG41:$EZ41,EJ41)&gt;3,EJ41,"")</f>
        <v/>
      </c>
      <c r="EK42" s="108" t="str">
        <f t="shared" ref="EK42" si="1360">IF(COUNTIF($EG41:$EZ41,EK41)&gt;3,EK41,"")</f>
        <v/>
      </c>
      <c r="EL42" s="108" t="str">
        <f t="shared" ref="EL42" si="1361">IF(COUNTIF($EG41:$EZ41,EL41)&gt;3,EL41,"")</f>
        <v/>
      </c>
      <c r="EM42" s="108" t="str">
        <f t="shared" ref="EM42" si="1362">IF(COUNTIF($EG41:$EZ41,EM41)&gt;3,EM41,"")</f>
        <v/>
      </c>
      <c r="EN42" s="108" t="str">
        <f t="shared" ref="EN42" si="1363">IF(COUNTIF($EG41:$EZ41,EN41)&gt;3,EN41,"")</f>
        <v/>
      </c>
      <c r="EO42" s="108" t="str">
        <f t="shared" ref="EO42" si="1364">IF(COUNTIF($EG41:$EZ41,EO41)&gt;3,EO41,"")</f>
        <v/>
      </c>
      <c r="EP42" s="108" t="str">
        <f t="shared" ref="EP42" si="1365">IF(COUNTIF($EG41:$EZ41,EP41)&gt;3,EP41,"")</f>
        <v/>
      </c>
      <c r="EQ42" s="108" t="str">
        <f t="shared" ref="EQ42" si="1366">IF(COUNTIF($EG41:$EZ41,EQ41)&gt;3,EQ41,"")</f>
        <v/>
      </c>
      <c r="ER42" s="108" t="str">
        <f t="shared" ref="ER42" si="1367">IF(COUNTIF($EG41:$EZ41,ER41)&gt;3,ER41,"")</f>
        <v/>
      </c>
      <c r="ES42" s="108" t="str">
        <f t="shared" ref="ES42" si="1368">IF(COUNTIF($EG41:$EZ41,ES41)&gt;3,ES41,"")</f>
        <v/>
      </c>
      <c r="ET42" s="108" t="str">
        <f t="shared" ref="ET42" si="1369">IF(COUNTIF($EG41:$EZ41,ET41)&gt;3,ET41,"")</f>
        <v/>
      </c>
      <c r="EU42" s="108" t="str">
        <f t="shared" ref="EU42" si="1370">IF(COUNTIF($EG41:$EZ41,EU41)&gt;3,EU41,"")</f>
        <v/>
      </c>
      <c r="EV42" s="108" t="str">
        <f t="shared" ref="EV42" si="1371">IF(COUNTIF($EG41:$EZ41,EV41)&gt;3,EV41,"")</f>
        <v/>
      </c>
      <c r="EW42" s="108" t="str">
        <f t="shared" ref="EW42" si="1372">IF(COUNTIF($EG41:$EZ41,EW41)&gt;3,EW41,"")</f>
        <v/>
      </c>
      <c r="EX42" s="108" t="str">
        <f t="shared" ref="EX42" si="1373">IF(COUNTIF($EG41:$EZ41,EX41)&gt;3,EX41,"")</f>
        <v/>
      </c>
      <c r="EY42" s="108" t="str">
        <f t="shared" ref="EY42" si="1374">IF(COUNTIF($EG41:$EZ41,EY41)&gt;3,EY41,"")</f>
        <v/>
      </c>
      <c r="EZ42" s="108" t="str">
        <f t="shared" ref="EZ42" si="1375">IF(COUNTIF($EG41:$EZ41,EZ41)&gt;3,EZ41,"")</f>
        <v/>
      </c>
      <c r="FA42" s="108"/>
      <c r="FB42" s="108"/>
      <c r="FC42" s="108"/>
      <c r="FD42" s="108"/>
      <c r="FE42" s="108"/>
      <c r="FF42" s="108"/>
      <c r="FG42" s="108"/>
      <c r="FH42" s="108"/>
      <c r="FI42" s="108" t="str">
        <f t="shared" ref="FI42" si="1376">IF($F41="Hybrid - Thrust + 2 connections",COUNTBLANK(J41:L41),"")</f>
        <v/>
      </c>
      <c r="FJ42" s="108"/>
      <c r="FN42" s="111"/>
    </row>
    <row r="43" spans="1:170" x14ac:dyDescent="0.3">
      <c r="A43" s="40" t="str">
        <f>IF(AND(E41="",A41&lt;&gt;""),IF(BS41=$BS$18,"",IF(C41&lt;&gt;"",IF(D41=59,MINUTE(BS41)+1,MINUTE(BS41)),"")),"")</f>
        <v/>
      </c>
      <c r="B43" s="41" t="str">
        <f>IF(AND(E41="",B41&lt;&gt;""),IF(BS41=$BS$18,"",IF(C41&lt;&gt;"",IF(D41=59,0,SECOND(BS41)+1),"")),"")</f>
        <v/>
      </c>
      <c r="C43" s="51"/>
      <c r="D43" s="51"/>
      <c r="E43" s="9"/>
      <c r="F43" s="52"/>
      <c r="G43" s="43" t="str">
        <f>IF(F43&lt;&gt;"",IF(OR(F43="Transition",F43="Transition - Surface Connection"),0,MAX($G$19:G42)+1),"")</f>
        <v/>
      </c>
      <c r="H43" s="57" t="str">
        <f t="shared" ref="H43" si="1377">IFERROR(IF(E44="3","",IF(OR(F43="Hybrid - min 4 swimmers (no DD)",LEFT(F43,5)="Trans"),"No DD",CONCATENATE("BM = ",I44))),"")</f>
        <v/>
      </c>
      <c r="I43" s="58"/>
      <c r="J43" s="130"/>
      <c r="K43" s="137"/>
      <c r="L43" s="137"/>
      <c r="M43" s="137"/>
      <c r="N43" s="137"/>
      <c r="O43" s="137"/>
      <c r="P43" s="137"/>
      <c r="Q43" s="137"/>
      <c r="R43" s="137"/>
      <c r="S43" s="137"/>
      <c r="T43" s="137"/>
      <c r="U43" s="137"/>
      <c r="V43" s="137"/>
      <c r="W43" s="137"/>
      <c r="X43" s="137"/>
      <c r="Y43" s="137"/>
      <c r="Z43" s="137"/>
      <c r="AA43" s="137"/>
      <c r="AB43" s="137"/>
      <c r="AC43" s="137"/>
      <c r="AD43" s="191"/>
      <c r="AE43" s="44"/>
      <c r="AF43" s="75"/>
      <c r="AG43" s="75"/>
      <c r="AH43" s="110"/>
      <c r="AI43" s="110"/>
      <c r="AJ43" s="110"/>
      <c r="AK43" s="110"/>
      <c r="AL43" s="110"/>
      <c r="AM43" s="110"/>
      <c r="AN43" s="110"/>
      <c r="AO43" s="110"/>
      <c r="AP43" s="110"/>
      <c r="AQ43" s="110"/>
      <c r="AR43" s="110"/>
      <c r="AS43" s="110"/>
      <c r="AT43" s="110" t="str">
        <f>IFERROR(IF(F43&lt;&gt;"",INDEX(Parts_Active,MATCH(F43,Parts_Active,0)),""),"No")</f>
        <v/>
      </c>
      <c r="AU43" s="110"/>
      <c r="AV43" s="110" t="str">
        <f t="shared" ref="AV43" si="1378">IF($E44="H",IF($F43="Hybrid - Thrust + 2 connections","Hybrid_Mix_Req","HybridDD_Code"),IF($E44=3,"TreDD_Code",IF($E44="PA","AcroPair_Code",IF(LEFT($F43,4)="Acro",CONCATENATE(AV$16,$E44,"_Code"),"Data!$BI$1:$BI$5"))))</f>
        <v>Data!$BI$1:$BI$5</v>
      </c>
      <c r="AW43" s="110" t="str">
        <f t="shared" ref="AW43" si="1379">IF($E44="H",IF($F43="Hybrid - Thrust + 2 connections","Hybrid_Mix_Req","HybridDD_Code"),IF($E44=3,"TreDD_Code",IF($E44="PA","AcroPair_Code",IF(LEFT($F43,4)="Acro",CONCATENATE(AW$16,$E44,"_Code"),"Data!$BI$1:$BI$5"))))</f>
        <v>Data!$BI$1:$BI$5</v>
      </c>
      <c r="AX43" s="110" t="str">
        <f t="shared" ref="AX43" si="1380">IF($E44="H",IF($F43="Hybrid - Thrust + 2 connections","Hybrid_Mix_Req","HybridDD_Code"),IF($E44=3,"TreDD_Code",IF($E44="PA","AcroPair_Code",IF(LEFT($F43,4)="Acro",CONCATENATE(AX$16,$E44,"_Code"),"Data!$BI$1:$BI$5"))))</f>
        <v>Data!$BI$1:$BI$5</v>
      </c>
      <c r="AY43" s="110" t="str">
        <f t="shared" ref="AY43" si="1381">IF($E44="H",IF($F43="Hybrid - Thrust + 2 connections","Data!$BI$1:$BI$5","HybridDD_Code"),IF($E44=3,"Data!$BI$1:$BI$5",IF(LEFT($F43,4)="Acro",CONCATENATE(AY$16,$E44,"_Code"),IF($E44="PA","","Data!$BI$1:$BI$5"))))</f>
        <v>Data!$BI$1:$BI$5</v>
      </c>
      <c r="AZ43" s="110" t="str">
        <f t="shared" ref="AZ43" si="1382">IF($E44="H",IF($F43="Hybrid - Thrust + 2 connections","Data!$BI$1:$BI$5","HybridDD_Code"),IF($E44=3,"Data!$BI$1:$BI$5",IF(LEFT($F43,4)="Acro",CONCATENATE(AZ$16,$E44,"_Code"),IF($E44="PA","","Data!$BI$1:$BI$5"))))</f>
        <v>Data!$BI$1:$BI$5</v>
      </c>
      <c r="BA43" s="110" t="str">
        <f t="shared" ref="BA43" si="1383">IF($E44="H",IF($F43="Hybrid - Thrust + 2 connections","Data!$BI$1:$BI$5","HybridDD_Code"),IF($E44=3,"Data!$BI$1:$BI$5",IF(LEFT($F43,4)="Acro",CONCATENATE(BA$16,$E44,"_Code"),IF($E44="PA","","Data!$BI$1:$BI$5"))))</f>
        <v>Data!$BI$1:$BI$5</v>
      </c>
      <c r="BB43" s="110" t="str">
        <f t="shared" ref="BB43" si="1384">IF($E44="H",IF($F43="Hybrid - Thrust + 2 connections","Data!$BI$1:$BI$5","HybridDD_Code"),IF($E44=3,"Data!$BI$1:$BI$5",IF(LEFT($F43,4)="Acro",CONCATENATE(BB$16,$E44,"_Code"),IF($E44="PA","","Data!$BI$1:$BI$5"))))</f>
        <v>Data!$BI$1:$BI$5</v>
      </c>
      <c r="BC43" s="110" t="str">
        <f t="shared" ref="BC43" si="1385">IF($E44="H",IF($F43="Hybrid - Thrust + 2 connections","Data!$BI$1:$BI$5","HybridDD_Code"),IF($E44=3,"Data!$BI$1:$BI$5",IF(LEFT($F43,4)="Acro",CONCATENATE(BC$16,$E44,"_Code"),IF($E44="PA","","Data!$BI$1:$BI$5"))))</f>
        <v>Data!$BI$1:$BI$5</v>
      </c>
      <c r="BD43" s="110" t="str">
        <f t="shared" ref="BD43" si="1386">IF($E44="H",IF($F43="Hybrid - Thrust + 2 connections","Data!$BI$1:$BI$5","HybridDD_Code"),IF($E44=3,"Data!$BI$1:$BI$5",IF(LEFT($F43,4)="Acro",CONCATENATE(BD$16,$E44,"_Code"),IF($E44="PA","","Data!$BI$1:$BI$5"))))</f>
        <v>Data!$BI$1:$BI$5</v>
      </c>
      <c r="BE43" s="110" t="str">
        <f t="shared" ref="BE43" si="1387">IF($E44="H",IF($F43="Hybrid - Thrust + 2 connections","Data!$BI$1:$BI$5","HybridDD_Code"),"Data!$BI$1:$BI$5")</f>
        <v>Data!$BI$1:$BI$5</v>
      </c>
      <c r="BF43" s="110" t="str">
        <f t="shared" si="1139"/>
        <v>Data!$BI$1:$BI$5</v>
      </c>
      <c r="BG43" s="110" t="str">
        <f t="shared" si="1139"/>
        <v>Data!$BI$1:$BI$5</v>
      </c>
      <c r="BH43" s="110" t="str">
        <f t="shared" si="1139"/>
        <v>Data!$BI$1:$BI$5</v>
      </c>
      <c r="BI43" s="110" t="str">
        <f t="shared" si="1139"/>
        <v>Data!$BI$1:$BI$5</v>
      </c>
      <c r="BJ43" s="110" t="str">
        <f t="shared" si="1139"/>
        <v>Data!$BI$1:$BI$5</v>
      </c>
      <c r="BK43" s="110" t="str">
        <f t="shared" si="1139"/>
        <v>Data!$BI$1:$BI$5</v>
      </c>
      <c r="BL43" s="110" t="str">
        <f t="shared" si="1139"/>
        <v>Data!$BI$1:$BI$5</v>
      </c>
      <c r="BM43" s="110" t="str">
        <f t="shared" si="1139"/>
        <v>Data!$BI$1:$BI$5</v>
      </c>
      <c r="BN43" s="110" t="str">
        <f t="shared" si="1139"/>
        <v>Data!$BI$1:$BI$5</v>
      </c>
      <c r="BO43" s="110" t="str">
        <f t="shared" si="1139"/>
        <v>Data!$BI$1:$BI$5</v>
      </c>
      <c r="BP43" s="110"/>
      <c r="BQ43" s="110"/>
      <c r="BR43" s="113" t="str">
        <f t="shared" ref="BR43" si="1388">IFERROR(TIME(0,A43,B43),"")</f>
        <v/>
      </c>
      <c r="BS43" s="114">
        <f>IFERROR(TIME(0,C43,D43),"")</f>
        <v>0</v>
      </c>
      <c r="BT43" s="114" t="str">
        <f t="shared" ref="BT43" si="1389">IF(BS43&gt;$D$12,"X","")</f>
        <v/>
      </c>
      <c r="BU43" s="108" t="str">
        <f>IF(AND(F43="Hybrid - Thrust + 2 connections",OR(LEFT(J43,1)="T",LEFT(K43,1)="T",LEFT(L43,1)="T",LEFT(NG43,1)="T",LEFT(M43,1)="T",LEFT(N43,1)="T",LEFT(O43,1)="T",LEFT(P43,1)="T",LEFT(Q43,1)="T",LEFT(R43,1)="T",LEFT(S43,1)="T",LEFT(T43,1)="T",LEFT(U43,1)="T",LEFT(V43,1)="T",LEFT(W43,1)="T",LEFT(X43,1)="T",LEFT(AA43,1)="T",LEFT(AB43,1)="T",LEFT(AC43,1)="T")),IF(OR(LEN(J43)=2,LEN(K43)=2,LEN(L43)=2,LEN(M43)=2,LEN(N43)=2,LEN(O43)=2,LEN(P43)=2,LEN(Q43)=2,LEN(R43)=2,LEN(S43)=2,LEN(T43)=2,LEN(U43)=2,LEN(V43)=2,LEN(W43)=2,LEN(X43)=2,LEN(Y43)=2,LEN(Z43)=2,LEN(AA43)=2,LEN(AB43)=2,LEN(AC43)=2),"X",""),"")</f>
        <v/>
      </c>
      <c r="BW43" s="108" t="str">
        <f>IF(LEFT(F43,4)="Acro",IF(AND(N43&lt;&gt;"",M43=RIGHT(N43,2)),"X","OK"),"")</f>
        <v/>
      </c>
      <c r="BX43" s="110" t="str">
        <f t="shared" ref="BX43:CE43" si="1390">IFERROR(IF(AND(LEFT($F43,4)="Acro",INDEX(Requ_App,MATCH(AV43,Requ_Code,0))="No"),"X",""),"")</f>
        <v/>
      </c>
      <c r="BY43" s="110" t="str">
        <f t="shared" si="1390"/>
        <v/>
      </c>
      <c r="BZ43" s="110" t="str">
        <f t="shared" si="1390"/>
        <v/>
      </c>
      <c r="CA43" s="110" t="str">
        <f t="shared" si="1390"/>
        <v/>
      </c>
      <c r="CB43" s="110" t="str">
        <f t="shared" si="1390"/>
        <v/>
      </c>
      <c r="CC43" s="110" t="str">
        <f t="shared" si="1390"/>
        <v/>
      </c>
      <c r="CD43" s="110" t="str">
        <f t="shared" si="1390"/>
        <v/>
      </c>
      <c r="CE43" s="110" t="str">
        <f t="shared" si="1390"/>
        <v/>
      </c>
      <c r="CF43" s="110" t="str">
        <f>IFERROR(IF(AND(LEFT($F43,4)="Acro",INDEX(Requ_App,MATCH(BC43,Requ_Code,0))="No"),"X",""),"")</f>
        <v/>
      </c>
      <c r="CG43" s="108" t="str">
        <f t="shared" si="9"/>
        <v/>
      </c>
      <c r="CH43" s="108" t="str">
        <f t="shared" si="10"/>
        <v/>
      </c>
      <c r="CI43" s="108" t="str">
        <f t="shared" si="11"/>
        <v/>
      </c>
      <c r="CJ43" s="108" t="str">
        <f t="shared" si="12"/>
        <v/>
      </c>
      <c r="CN43" s="108">
        <f t="shared" ref="CN43" si="1391">IF(AND(E44="A",OR(Q43="Grip",Q43="Conn",Q43="Catch")),"A1",IF(AND(E44="A",OR(Q43="Hula",Q43="RetSq",Q43="RetPa")),"A2",IF(AND(E44="B",OR(Q43="Twirl",Q43="RotF")),"B1",IF(AND(E44="B",OR(Q43="Moon",Q43="Mov")),"B2",IF(AND(E44="B",Q43="Hold"),"B3",IF(AND(E44="P",OR(Q43="Porp",Q43="Spitch")),"P1",IF(AND(E44="P",OR(Q43="Dive",Q43="Ps1",Q43="Ps1t0.5",Q43="Ps1op",Q43="Ps1t0,5o",Q43="Ps1t1",Q43="CH+")),"P2",IF(AND(E44="P",OR(Q43="Spider",Q43="Climb")),"P3",IF(AND(E44="P",OR(Q43="Fall",Q43="FTurn")),"P4",IF(AND(E44="C",OR(Q43="Jump",Q43="Jump&gt;",Q43="On1Foot",Q43="1F&gt;1F")),"C1",IF(AND(E44="C",OR(Q43="Run",Q43="BRun")),"C2",1)))))))))))</f>
        <v>1</v>
      </c>
      <c r="CO43" s="108">
        <f t="shared" ref="CO43" si="1392">IF(AND(E44="A",OR(R43="Grip",R43="Conn",R43="Catch")),"A1",IF(AND(E44="A",OR(R43="Hula",R43="RetSq",R43="RetPa")),"A2",IF(AND(E44="B",OR(R43="Twirl",R43="RotF")),"B1",IF(AND(E44="B",OR(R43="Moon",R43="Mov")),"B3",IF(AND(E44="B",R43="Hold"),"B2",IF(AND(E44="P",OR(R43="Porp",R43="Spitch")),"P1",IF(AND(E44="P",OR(R43="Dive",R43="Ps1",R43="Ps1t0.5",R43="Ps1op",R43="Ps1t0,5o",R43="Ps1t1",R43="CH+")),"P2",IF(AND(E44="P",OR(R43="Spider",R43="Climb")),"P3",IF(AND(E44="P",OR(R43="Fall",R43="FTurn")),"P4",IF(AND(E44="C",OR(R43="Jump",R43="Jump&gt;",R43="On1Foot",R43="1F&gt;1F")),"C1",IF(AND(E44="C",OR(R43="Run",R43="BRun")),"C2",2)))))))))))</f>
        <v>2</v>
      </c>
      <c r="CP43" s="108" t="str">
        <f t="shared" ref="CP43" si="1393">IF(AND(LEFT(F43,4)="Acro",Q43&lt;&gt;"",OR(Q43=R43,CN43=CO43)),IF(R43="C-Roll","","X"),IF(OR(AND(E44="A",Q43="Catch",R43&lt;&gt;"Dbl"),AND(E44="A",R43="Catch",Q43&lt;&gt;"Dbl")),"X",""))</f>
        <v/>
      </c>
      <c r="CQ43" s="108" t="str">
        <f t="shared" ref="CQ43" si="1394">IF(E44="PA",J43,"")</f>
        <v/>
      </c>
      <c r="CR43" s="108">
        <v>25</v>
      </c>
      <c r="CT43" s="108" t="str">
        <f t="shared" ref="CT43" si="1395">IF(AND($E44="A",COUNTIF($DC$19:$DD$68,DC43)&gt;1),DC43,"")</f>
        <v/>
      </c>
      <c r="CU43" s="108" t="str">
        <f t="shared" ref="CU43" si="1396">IF(AND($E44="A",COUNTIF($DC$19:$DD$68,DD43)&gt;1),DD43,"")</f>
        <v/>
      </c>
      <c r="CV43" s="108" t="str">
        <f t="shared" ref="CV43" ca="1" si="1397">IF(AND($E44="B",COUNTIF($J$19:$J$68,J43)&gt;1),J43,"")</f>
        <v/>
      </c>
      <c r="CW43" s="108" t="str">
        <f t="shared" ref="CW43" ca="1" si="1398">IF(AND($E44="B",COUNTIF($K$19:$K$68,K43)&gt;1),K43,"")</f>
        <v/>
      </c>
      <c r="CX43" s="108" t="str">
        <f t="shared" ref="CX43" ca="1" si="1399">IF(AND($E44="C",COUNTIF($J$19:$J$68,J43)&gt;1),J43,"")</f>
        <v/>
      </c>
      <c r="CY43" s="108" t="str">
        <f t="shared" ref="CY43" ca="1" si="1400">IF(AND($E44="P",COUNTIF($J$19:$J$68,J43)&gt;1),J43,"")</f>
        <v/>
      </c>
      <c r="CZ43" s="108" t="str">
        <f t="shared" ref="CZ43" ca="1" si="1401">IF(AND($E44="P",COUNTIF($K$19:$K$68,K43)&gt;1),K43,"")</f>
        <v/>
      </c>
      <c r="DA43" s="108" t="str">
        <f t="shared" ref="DA43" si="1402">IF(AND($E44="P",COUNTIF($DC$19:$DD$68,DC43)&gt;1),DC43,"")</f>
        <v/>
      </c>
      <c r="DB43" s="108" t="str">
        <f t="shared" ref="DB43" si="1403">IF(AND($E44="P",COUNTIF($DC$19:$DD$68,DD43)&gt;1),DD43,"")</f>
        <v/>
      </c>
      <c r="DC43" s="108" t="str">
        <f t="shared" ref="DC43" si="1404">IFERROR(IF(OR(E44="A",E44="P"),M43,""),"")</f>
        <v/>
      </c>
      <c r="DD43" s="108" t="str">
        <f t="shared" ref="DD43" si="1405">IFERROR(IF(OR(E44="A",E44="P"),RIGHT(N43,2),""),"")</f>
        <v/>
      </c>
      <c r="DF43" s="108" t="str">
        <f t="shared" ref="DF43" si="1406">IF(AND($F$8="Open Team Acrobatic",LEFT(F43,4)="Acro"),E44,"")</f>
        <v/>
      </c>
      <c r="DG43" s="108" t="str">
        <f t="shared" ref="DG43" si="1407">IFERROR(IF(HLOOKUP(DF43,$DD$12:$DG$13,2,FALSE)&gt;2,"X",""),"")</f>
        <v/>
      </c>
      <c r="DI43" s="108" t="str">
        <f t="shared" ref="DI43" si="1408">IF(OR(AND(F43="Hybrid - Thrust + 2 connections",DI44="T"),AND(F43="Hybrid - Free",DI44&lt;&gt;"")),"X","")</f>
        <v/>
      </c>
      <c r="DK43" s="108">
        <f t="shared" ref="DK43" si="1409">IFERROR(IF(AND($E44="H",J43&lt;&gt;""),IF(OR(LEFT(J43,1)="T",LEFT(J43,1)="S",LEFT(J43,1)="A",LEFT(J43,1)="F",LEFT(J43,1)="C"),LEFT(J43,1),"R"),DK$18),"")</f>
        <v>1</v>
      </c>
      <c r="DL43" s="108">
        <f t="shared" ref="DL43" si="1410">IFERROR(IF(AND($E44="H",K43&lt;&gt;""),IF(OR(LEFT(K43,1)="T",LEFT(K43,1)="S",LEFT(K43,1)="A",LEFT(K43,1)="F",LEFT(K43,1)="C"),LEFT(K43,1),"R"),DL$18),"")</f>
        <v>2</v>
      </c>
      <c r="DM43" s="108">
        <f t="shared" ref="DM43" si="1411">IFERROR(IF(AND($E44="H",L43&lt;&gt;""),IF(OR(LEFT(L43,1)="T",LEFT(L43,1)="S",LEFT(L43,1)="A",LEFT(L43,1)="F",LEFT(L43,1)="C"),LEFT(L43,1),"R"),DM$18),"")</f>
        <v>3</v>
      </c>
      <c r="DN43" s="108">
        <f t="shared" ref="DN43" si="1412">IFERROR(IF(AND($E44="H",M43&lt;&gt;""),IF(OR(LEFT(M43,1)="T",LEFT(M43,1)="S",LEFT(M43,1)="A",LEFT(M43,1)="F",LEFT(M43,1)="C"),LEFT(M43,1),"R"),DN$18),"")</f>
        <v>4</v>
      </c>
      <c r="DO43" s="108">
        <f t="shared" ref="DO43" si="1413">IFERROR(IF(AND($E44="H",N43&lt;&gt;""),IF(OR(LEFT(N43,1)="T",LEFT(N43,1)="S",LEFT(N43,1)="A",LEFT(N43,1)="F",LEFT(N43,1)="C"),LEFT(N43,1),"R"),DO$18),"")</f>
        <v>5</v>
      </c>
      <c r="DP43" s="108">
        <f t="shared" ref="DP43" si="1414">IFERROR(IF(AND($E44="H",O43&lt;&gt;""),IF(OR(LEFT(O43,1)="T",LEFT(O43,1)="S",LEFT(O43,1)="A",LEFT(O43,1)="F",LEFT(O43,1)="C"),LEFT(O43,1),"R"),DP$18),"")</f>
        <v>6</v>
      </c>
      <c r="DQ43" s="108">
        <f t="shared" ref="DQ43" si="1415">IFERROR(IF(AND($E44="H",P43&lt;&gt;""),IF(OR(LEFT(P43,1)="T",LEFT(P43,1)="S",LEFT(P43,1)="A",LEFT(P43,1)="F",LEFT(P43,1)="C"),LEFT(P43,1),"R"),DQ$18),"")</f>
        <v>7</v>
      </c>
      <c r="DR43" s="108">
        <f t="shared" ref="DR43" si="1416">IFERROR(IF(AND($E44="H",Q43&lt;&gt;""),IF(OR(LEFT(Q43,1)="T",LEFT(Q43,1)="S",LEFT(Q43,1)="A",LEFT(Q43,1)="F",LEFT(Q43,1)="C"),LEFT(Q43,1),"R"),DR$18),"")</f>
        <v>8</v>
      </c>
      <c r="DS43" s="108">
        <f t="shared" ref="DS43" si="1417">IFERROR(IF(AND($E44="H",R43&lt;&gt;""),IF(OR(LEFT(R43,1)="T",LEFT(R43,1)="S",LEFT(R43,1)="A",LEFT(R43,1)="F",LEFT(R43,1)="C"),LEFT(R43,1),"R"),DS$18),"")</f>
        <v>9</v>
      </c>
      <c r="DT43" s="108">
        <f t="shared" ref="DT43" si="1418">IFERROR(IF(AND($E44="H",S43&lt;&gt;""),IF(OR(LEFT(S43,1)="T",LEFT(S43,1)="S",LEFT(S43,1)="A",LEFT(S43,1)="F",LEFT(S43,1)="C"),LEFT(S43,1),"R"),DT$18),"")</f>
        <v>10</v>
      </c>
      <c r="DU43" s="108">
        <f t="shared" ref="DU43" si="1419">IFERROR(IF(AND($E44="H",T43&lt;&gt;""),IF(OR(LEFT(T43,1)="T",LEFT(T43,1)="S",LEFT(T43,1)="A",LEFT(T43,1)="F",LEFT(T43,1)="C"),LEFT(T43,1),"R"),DU$18),"")</f>
        <v>11</v>
      </c>
      <c r="DV43" s="108">
        <f t="shared" ref="DV43" si="1420">IFERROR(IF(AND($E44="H",U43&lt;&gt;""),IF(OR(LEFT(U43,1)="T",LEFT(U43,1)="S",LEFT(U43,1)="A",LEFT(U43,1)="F",LEFT(U43,1)="C"),LEFT(U43,1),"R"),DV$18),"")</f>
        <v>12</v>
      </c>
      <c r="DW43" s="108">
        <f t="shared" ref="DW43" si="1421">IFERROR(IF(AND($E44="H",V43&lt;&gt;""),IF(OR(LEFT(V43,1)="T",LEFT(V43,1)="S",LEFT(V43,1)="A",LEFT(V43,1)="F",LEFT(V43,1)="C"),LEFT(V43,1),"R"),DW$18),"")</f>
        <v>13</v>
      </c>
      <c r="DX43" s="108">
        <f t="shared" ref="DX43" si="1422">IFERROR(IF(AND($E44="H",W43&lt;&gt;""),IF(OR(LEFT(W43,1)="T",LEFT(W43,1)="S",LEFT(W43,1)="A",LEFT(W43,1)="F",LEFT(W43,1)="C"),LEFT(W43,1),"R"),DX$18),"")</f>
        <v>14</v>
      </c>
      <c r="DY43" s="108">
        <f t="shared" ref="DY43" si="1423">IFERROR(IF(AND($E44="H",X43&lt;&gt;""),IF(OR(LEFT(X43,1)="T",LEFT(X43,1)="S",LEFT(X43,1)="A",LEFT(X43,1)="F",LEFT(X43,1)="C"),LEFT(X43,1),"R"),DY$18),"")</f>
        <v>15</v>
      </c>
      <c r="DZ43" s="108">
        <f t="shared" ref="DZ43" si="1424">IFERROR(IF(AND($E44="H",Y43&lt;&gt;""),IF(OR(LEFT(Y43,1)="T",LEFT(Y43,1)="S",LEFT(Y43,1)="A",LEFT(Y43,1)="F",LEFT(Y43,1)="C"),LEFT(Y43,1),"R"),DZ$18),"")</f>
        <v>16</v>
      </c>
      <c r="EA43" s="108">
        <f t="shared" ref="EA43" si="1425">IFERROR(IF(AND($E44="H",Z43&lt;&gt;""),IF(OR(LEFT(Z43,1)="T",LEFT(Z43,1)="S",LEFT(Z43,1)="A",LEFT(Z43,1)="F",LEFT(Z43,1)="C"),LEFT(Z43,1),"R"),EA$18),"")</f>
        <v>17</v>
      </c>
      <c r="EB43" s="108">
        <f t="shared" ref="EB43" si="1426">IFERROR(IF(AND($E44="H",AA43&lt;&gt;""),IF(OR(LEFT(AA43,1)="T",LEFT(AA43,1)="S",LEFT(AA43,1)="A",LEFT(AA43,1)="F",LEFT(AA43,1)="C"),LEFT(AA43,1),"R"),EB$18),"")</f>
        <v>18</v>
      </c>
      <c r="EC43" s="108">
        <f t="shared" ref="EC43" si="1427">IFERROR(IF(AND($E44="H",AB43&lt;&gt;""),IF(OR(LEFT(AB43,1)="T",LEFT(AB43,1)="S",LEFT(AB43,1)="A",LEFT(AB43,1)="F",LEFT(AB43,1)="C"),LEFT(AB43,1),"R"),EC$18),"")</f>
        <v>19</v>
      </c>
      <c r="ED43" s="108">
        <f t="shared" ref="ED43" si="1428">IFERROR(IF(AND($E44="H",AC43&lt;&gt;""),IF(OR(LEFT(AC43,1)="T",LEFT(AC43,1)="S",LEFT(AC43,1)="A",LEFT(AC43,1)="F",LEFT(AC43,1)="C"),LEFT(AC43,1),"R"),ED$18),"")</f>
        <v>20</v>
      </c>
      <c r="EE43" s="108"/>
      <c r="EF43" s="108"/>
      <c r="EG43" s="108">
        <f t="shared" ref="EG43:EZ43" si="1429">IFERROR(IF(J43&lt;&gt;"",UPPER(J43),EG$18),EG$18)</f>
        <v>1</v>
      </c>
      <c r="EH43" s="108">
        <f t="shared" si="1429"/>
        <v>2</v>
      </c>
      <c r="EI43" s="108">
        <f t="shared" si="1429"/>
        <v>3</v>
      </c>
      <c r="EJ43" s="108">
        <f t="shared" si="1429"/>
        <v>4</v>
      </c>
      <c r="EK43" s="108">
        <f t="shared" si="1429"/>
        <v>5</v>
      </c>
      <c r="EL43" s="108">
        <f t="shared" si="1429"/>
        <v>6</v>
      </c>
      <c r="EM43" s="108">
        <f t="shared" si="1429"/>
        <v>7</v>
      </c>
      <c r="EN43" s="108">
        <f t="shared" si="1429"/>
        <v>8</v>
      </c>
      <c r="EO43" s="108">
        <f t="shared" si="1429"/>
        <v>9</v>
      </c>
      <c r="EP43" s="108">
        <f t="shared" si="1429"/>
        <v>10</v>
      </c>
      <c r="EQ43" s="108">
        <f t="shared" si="1429"/>
        <v>11</v>
      </c>
      <c r="ER43" s="108">
        <f t="shared" si="1429"/>
        <v>12</v>
      </c>
      <c r="ES43" s="108">
        <f t="shared" si="1429"/>
        <v>13</v>
      </c>
      <c r="ET43" s="108">
        <f t="shared" si="1429"/>
        <v>14</v>
      </c>
      <c r="EU43" s="108">
        <f t="shared" si="1429"/>
        <v>15</v>
      </c>
      <c r="EV43" s="108">
        <f t="shared" si="1429"/>
        <v>16</v>
      </c>
      <c r="EW43" s="108">
        <f t="shared" si="1429"/>
        <v>17</v>
      </c>
      <c r="EX43" s="108">
        <f t="shared" si="1429"/>
        <v>18</v>
      </c>
      <c r="EY43" s="108">
        <f t="shared" si="1429"/>
        <v>19</v>
      </c>
      <c r="EZ43" s="108">
        <f t="shared" si="1429"/>
        <v>20</v>
      </c>
      <c r="FA43" s="108"/>
      <c r="FB43" s="108">
        <f t="shared" ref="FB43" si="1430">COUNTIF($DK43:$ED43,FB$18)</f>
        <v>0</v>
      </c>
      <c r="FC43" s="108">
        <f t="shared" si="934"/>
        <v>0</v>
      </c>
      <c r="FD43" s="108">
        <f t="shared" si="934"/>
        <v>0</v>
      </c>
      <c r="FE43" s="108">
        <f t="shared" si="934"/>
        <v>0</v>
      </c>
      <c r="FF43" s="108">
        <f t="shared" si="934"/>
        <v>0</v>
      </c>
      <c r="FG43" s="108">
        <f t="shared" si="934"/>
        <v>0</v>
      </c>
      <c r="FH43" s="108"/>
      <c r="FI43" s="108" t="str">
        <f t="shared" ref="FI43" si="1431">IF(AND($F43="Hybrid - Thrust + 2 connections",FI44=0,LEFT($J43,1)="C",LEFT($K43,1)="C",LEFT($L43,1)="C"),"X","")</f>
        <v/>
      </c>
      <c r="FJ43" s="108"/>
      <c r="FL43" s="120" t="e">
        <f>IF(OR(LEFT(#REF!,2)="PL",LEFT(#REF!,2)="PL",LEFT(#REF!,2)="PL",LEFT(#REF!,2)="PL",LEFT(#REF!,2)="PL"),IF($BS$17-BR43&gt;$FL$17,"X",""),"")</f>
        <v>#REF!</v>
      </c>
      <c r="FM43" s="120"/>
      <c r="FN43" s="111" t="str">
        <f>IF(E44=3,_xlfn.NUMBERVALUE(LEFT(J43,1)),"")</f>
        <v/>
      </c>
    </row>
    <row r="44" spans="1:170" x14ac:dyDescent="0.3">
      <c r="A44" s="40"/>
      <c r="B44" s="41"/>
      <c r="C44" s="41"/>
      <c r="D44" s="41"/>
      <c r="E44" s="21" t="str">
        <f t="shared" ref="E44" si="1432">IF(F43="Acrobatic - Pair","PA",IF(F43="Acrobatic Airborn","A",IF(F43="Acrobatic Balance","B",IF(F43="Acrobatic Combined","C",IF(F43="Acrobatic Platform","P",IF(F43="Technical Required Element",3,IF(LEFT(F43,4)="Hybr","H","")))))))</f>
        <v/>
      </c>
      <c r="F44" s="21" t="str">
        <f>IF(AND(F43="Hybrid - Thrust + 2 connections",BU43="X"),"Hybrid - Thrust",IF(OR(E44="A",E44="B",E44="C",E44="P"),"Acrobatic",""))</f>
        <v/>
      </c>
      <c r="G44" s="43"/>
      <c r="H44" s="222" t="str">
        <f t="shared" ref="H44" si="1433">IF(E44="PA",IF(OR(LEFT(J43,1)="L",LEFT(J43,1)="S"),"A-Pair-Lift",IF(OR(LEFT(J43,1)="W",LEFT(J43,1)="T"),"A-Pair-Throw",IF(LEFT(J43,1)="J","A-Pair-Jump","A-Pair"))),IF(OR(E44="A",E44="B",E44="C",E44="P"),CONCATENATE("Acro-",E44),""))</f>
        <v/>
      </c>
      <c r="I44" s="216" t="e">
        <f t="shared" ref="I44" si="1434">IF(OR(F43="Hybrid - min 4 swimmers (no DD)",LEFT(F43,5)="Trans"),0,INDEX($BV$3:$BV$9,MATCH(E44,$BU$3:$BU$9,0)))</f>
        <v>#N/A</v>
      </c>
      <c r="J44" s="210">
        <f t="shared" ref="J44" ca="1" si="1435">IFERROR(IF($H43="No DD",0,IF(OR(ISBLANK(J43),J43="N/A"),0,INDEX(INDIRECT(AV44),MATCH(J43,INDIRECT(AV43),0)))),0)</f>
        <v>0</v>
      </c>
      <c r="K44" s="210">
        <f t="shared" ref="K44" ca="1" si="1436">IFERROR(IF($H43="No DD",0,IF(OR(ISBLANK(K43),K43="N/A"),0,INDEX(INDIRECT(AW44),MATCH(K43,INDIRECT(AW43),0)))),0)</f>
        <v>0</v>
      </c>
      <c r="L44" s="210">
        <f t="shared" ref="L44" ca="1" si="1437">IFERROR(IF($H43="No DD",0,IF(OR(ISBLANK(L43),L43="N/A"),0,INDEX(INDIRECT(AX44),MATCH(L43,INDIRECT(AX43),0)))),0)</f>
        <v>0</v>
      </c>
      <c r="M44" s="210">
        <f t="shared" ref="M44" ca="1" si="1438">IFERROR(IF($H43="No DD",0,IF(OR(ISBLANK(M43),M43="N/A"),0,INDEX(INDIRECT(AY44),MATCH(M43,INDIRECT(AY43),0)))),0)</f>
        <v>0</v>
      </c>
      <c r="N44" s="210">
        <f t="shared" ref="N44" ca="1" si="1439">IFERROR(IF($H43="No DD",0,IF(OR(ISBLANK(N43),N43="N/A"),0,INDEX(INDIRECT(AZ44),MATCH(N43,INDIRECT(AZ43),0)))),0)</f>
        <v>0</v>
      </c>
      <c r="O44" s="210">
        <f t="shared" ref="O44" ca="1" si="1440">IFERROR(IF($H43="No DD",0,IF(OR(ISBLANK(O43),O43="N/A"),0,INDEX(INDIRECT(BA44),MATCH(O43,INDIRECT(BA43),0)))),0)</f>
        <v>0</v>
      </c>
      <c r="P44" s="210">
        <f t="shared" ref="P44" ca="1" si="1441">IFERROR(IF($H43="No DD",0,IF(OR(ISBLANK(P43),P43="N/A"),0,INDEX(INDIRECT(BB44),MATCH(P43,INDIRECT(BB43),0)))),0)</f>
        <v>0</v>
      </c>
      <c r="Q44" s="210">
        <f t="shared" ref="Q44" ca="1" si="1442">IFERROR(IF($H43="No DD",0,IF(OR(ISBLANK(Q43),Q43="N/A"),0,INDEX(INDIRECT(BC44),MATCH(Q43,INDIRECT(BC43),0)))),0)</f>
        <v>0</v>
      </c>
      <c r="R44" s="210">
        <f t="shared" ref="R44" ca="1" si="1443">IFERROR(IF($H43="No DD",0,IF(OR(ISBLANK(R43),R43="N/A"),0,INDEX(INDIRECT(BD44),MATCH(R43,INDIRECT(BD43),0)))),0)</f>
        <v>0</v>
      </c>
      <c r="S44" s="210">
        <f t="shared" ref="S44" ca="1" si="1444">IFERROR(IF($H43="No DD",0,IF(OR(ISBLANK(S43),S43="N/A"),0,INDEX(INDIRECT(BE44),MATCH(S43,INDIRECT(BE43),0)))),0)</f>
        <v>0</v>
      </c>
      <c r="T44" s="210">
        <f t="shared" ref="T44" ca="1" si="1445">IFERROR(IF($H43="No DD",0,IF(OR(ISBLANK(T43),T43="N/A"),0,INDEX(INDIRECT(BF44),MATCH(T43,INDIRECT(BF43),0)))),0)</f>
        <v>0</v>
      </c>
      <c r="U44" s="210">
        <f t="shared" ref="U44" ca="1" si="1446">IFERROR(IF($H43="No DD",0,IF(OR(ISBLANK(U43),U43="N/A"),0,INDEX(INDIRECT(BG44),MATCH(U43,INDIRECT(BG43),0)))),0)</f>
        <v>0</v>
      </c>
      <c r="V44" s="210">
        <f t="shared" ref="V44" ca="1" si="1447">IFERROR(IF($H43="No DD",0,IF(OR(ISBLANK(V43),V43="N/A"),0,INDEX(INDIRECT(BH44),MATCH(V43,INDIRECT(BH43),0)))),0)</f>
        <v>0</v>
      </c>
      <c r="W44" s="210">
        <f t="shared" ref="W44" ca="1" si="1448">IFERROR(IF($H43="No DD",0,IF(OR(ISBLANK(W43),W43="N/A"),0,INDEX(INDIRECT(BI44),MATCH(W43,INDIRECT(BI43),0)))),0)</f>
        <v>0</v>
      </c>
      <c r="X44" s="210">
        <f t="shared" ref="X44" ca="1" si="1449">IFERROR(IF($H43="No DD",0,IF(OR(ISBLANK(X43),X43="N/A"),0,INDEX(INDIRECT(BJ44),MATCH(X43,INDIRECT(BJ43),0)))),0)</f>
        <v>0</v>
      </c>
      <c r="Y44" s="210">
        <f t="shared" ref="Y44" ca="1" si="1450">IFERROR(IF($H43="No DD",0,IF(OR(ISBLANK(Y43),Y43="N/A"),0,INDEX(INDIRECT(BK44),MATCH(Y43,INDIRECT(BK43),0)))),0)</f>
        <v>0</v>
      </c>
      <c r="Z44" s="210">
        <f t="shared" ref="Z44" ca="1" si="1451">IFERROR(IF($H43="No DD",0,IF(OR(ISBLANK(Z43),Z43="N/A"),0,INDEX(INDIRECT(BL44),MATCH(Z43,INDIRECT(BL43),0)))),0)</f>
        <v>0</v>
      </c>
      <c r="AA44" s="210">
        <f t="shared" ref="AA44" ca="1" si="1452">IFERROR(IF($H43="No DD",0,IF(OR(ISBLANK(AA43),AA43="N/A"),0,INDEX(INDIRECT(BM44),MATCH(AA43,INDIRECT(BM43),0)))),0)</f>
        <v>0</v>
      </c>
      <c r="AB44" s="210">
        <f t="shared" ref="AB44" ca="1" si="1453">IFERROR(IF($H43="No DD",0,IF(OR(ISBLANK(AB43),AB43="N/A"),0,INDEX(INDIRECT(BN44),MATCH(AB43,INDIRECT(BN43),0)))),0)</f>
        <v>0</v>
      </c>
      <c r="AC44" s="210">
        <f t="shared" ref="AC44" ca="1" si="1454">IFERROR(IF($H43="No DD",0,IF(OR(ISBLANK(AC43),AC43="N/A"),0,INDEX(INDIRECT(BO44),MATCH(AC43,INDIRECT(BO43),0)))),0)</f>
        <v>0</v>
      </c>
      <c r="AD44" s="211" t="str">
        <f>IFERROR(IF(E44="H",INDEX(HybridBonus_Value,MATCH(AD43,HybridBonus_Code,0)),""),"")</f>
        <v/>
      </c>
      <c r="AE44" s="209" t="str">
        <f t="shared" ref="AE44" si="1455">IFERROR(IF(J43&lt;&gt;"",SUM(I44:AD44),""),"")</f>
        <v/>
      </c>
      <c r="AF44" s="76"/>
      <c r="AG44" s="76"/>
      <c r="AH44" s="121"/>
      <c r="AI44" s="121"/>
      <c r="AJ44" s="121"/>
      <c r="AK44" s="121"/>
      <c r="AL44" s="121"/>
      <c r="AM44" s="121"/>
      <c r="AN44" s="121"/>
      <c r="AO44" s="121"/>
      <c r="AP44" s="121"/>
      <c r="AQ44" s="121"/>
      <c r="AR44" s="121"/>
      <c r="AS44" s="121"/>
      <c r="AT44" s="110"/>
      <c r="AU44" s="121"/>
      <c r="AV44" s="111" t="str">
        <f t="shared" ref="AV44" si="1456">IF($E44="H","HybridDD_Value",IF($E44=3,"TreDD_Value",IF($E44="PA","AcroPair_Value",IF(LEFT($F43,4)="Acro",CONCATENATE(AV$16,$E44,"_Value"),""))))</f>
        <v/>
      </c>
      <c r="AW44" s="111" t="str">
        <f t="shared" ref="AW44:AX44" si="1457">IF($E44="H","HybridDD_Value",IF($E44=3,"",IF(LEFT($F43,4)="Acro",CONCATENATE(AW$16,$E44,"_Value"),IF($E44="PA","",""))))</f>
        <v/>
      </c>
      <c r="AX44" s="111" t="str">
        <f t="shared" si="1457"/>
        <v/>
      </c>
      <c r="AY44" s="111" t="str">
        <f t="shared" ref="AY44:BD44" si="1458">IF($E44="H","HybridDD_Value",IF($E44=3,"",IF(LEFT($F43,4)="Acro",CONCATENATE(AY$16,$E44,"_Value"),IF($E44="PA","",""))))</f>
        <v/>
      </c>
      <c r="AZ44" s="111" t="str">
        <f t="shared" si="1458"/>
        <v/>
      </c>
      <c r="BA44" s="111" t="str">
        <f t="shared" si="1458"/>
        <v/>
      </c>
      <c r="BB44" s="111" t="str">
        <f t="shared" si="1458"/>
        <v/>
      </c>
      <c r="BC44" s="111" t="str">
        <f t="shared" si="1458"/>
        <v/>
      </c>
      <c r="BD44" s="111" t="str">
        <f t="shared" si="1458"/>
        <v/>
      </c>
      <c r="BE44" s="110" t="str">
        <f t="shared" ref="BE44" si="1459">IF($E44="H","HybridDD_Value","Data!$BI$1:$BI$5")</f>
        <v>Data!$BI$1:$BI$5</v>
      </c>
      <c r="BF44" s="110" t="str">
        <f t="shared" si="1139"/>
        <v>Data!$BI$1:$BI$5</v>
      </c>
      <c r="BG44" s="110" t="str">
        <f t="shared" si="1139"/>
        <v>Data!$BI$1:$BI$5</v>
      </c>
      <c r="BH44" s="110" t="str">
        <f t="shared" si="1139"/>
        <v>Data!$BI$1:$BI$5</v>
      </c>
      <c r="BI44" s="110" t="str">
        <f t="shared" si="1139"/>
        <v>Data!$BI$1:$BI$5</v>
      </c>
      <c r="BJ44" s="110" t="str">
        <f t="shared" si="1139"/>
        <v>Data!$BI$1:$BI$5</v>
      </c>
      <c r="BK44" s="110" t="str">
        <f t="shared" si="1139"/>
        <v>Data!$BI$1:$BI$5</v>
      </c>
      <c r="BL44" s="110" t="str">
        <f t="shared" si="1139"/>
        <v>Data!$BI$1:$BI$5</v>
      </c>
      <c r="BM44" s="110" t="str">
        <f t="shared" si="1139"/>
        <v>Data!$BI$1:$BI$5</v>
      </c>
      <c r="BN44" s="110" t="str">
        <f t="shared" si="1139"/>
        <v>Data!$BI$1:$BI$5</v>
      </c>
      <c r="BO44" s="110" t="str">
        <f t="shared" si="1139"/>
        <v>Data!$BI$1:$BI$5</v>
      </c>
      <c r="BP44" s="121"/>
      <c r="BQ44" s="121"/>
      <c r="BR44" s="122" t="str">
        <f>IFERROR(IF(AND($BS$6="T",$BS$8="T",LEFT(F43,4)="Acro",AE44&gt;3),"X",IF($N$7="X",IF(AND(E44="C",AE44&gt;$CA$6),"X",IF(AND(E44="A",AE44&gt;$CA$4),"X",IF(AND(E44="B",AE44&gt;$CA$5),"X",IF(AND(E44="P",AE44&gt;$CA$7),"X","")))),"")),"")</f>
        <v/>
      </c>
      <c r="BS44" s="114"/>
      <c r="BU44" s="108"/>
      <c r="CA44" s="111"/>
      <c r="CB44" s="111"/>
      <c r="CC44" s="111"/>
      <c r="CG44" s="108" t="str">
        <f t="shared" si="9"/>
        <v/>
      </c>
      <c r="CH44" s="108" t="str">
        <f t="shared" si="10"/>
        <v/>
      </c>
      <c r="CI44" s="108" t="str">
        <f t="shared" si="11"/>
        <v/>
      </c>
      <c r="CJ44" s="108" t="str">
        <f t="shared" si="12"/>
        <v/>
      </c>
      <c r="CR44" s="108">
        <v>26</v>
      </c>
      <c r="DI44" s="108" t="str" cm="1">
        <f t="array" ref="DI44">IFERROR(INDEX(DK44:ED44,MATCH(TRUE,INDEX((DK44:ED44&lt;&gt;""),),0)),"")</f>
        <v/>
      </c>
      <c r="DK44" s="108" t="str">
        <f t="shared" ref="DK44" si="1460">IF(F43="Hybrid - Thrust + 2 connections",IF(COUNTIF($DK43:$ED43,DK43)&gt;1,DK43,""),IF(COUNTIF($DK43:$ED43,DK43)&gt;5,DK43,""))</f>
        <v/>
      </c>
      <c r="DL44" s="108" t="str">
        <f t="shared" ref="DL44" si="1461">IF(G43="Hybrid - Thrust + 2 connections",IF(COUNTIF($DK43:$ED43,DL43)&gt;1,DL43,""),IF(COUNTIF($DK43:$ED43,DL43)&gt;5,DL43,""))</f>
        <v/>
      </c>
      <c r="DM44" s="108" t="str">
        <f t="shared" ref="DM44" si="1462">IF(H43="Hybrid - Thrust + 2 connections",IF(COUNTIF($DK43:$ED43,DM43)&gt;1,DM43,""),IF(COUNTIF($DK43:$ED43,DM43)&gt;5,DM43,""))</f>
        <v/>
      </c>
      <c r="DN44" s="108" t="str">
        <f t="shared" ref="DN44" si="1463">IF(I43="Hybrid - Thrust + 2 connections",IF(COUNTIF($DK43:$ED43,DN43)&gt;1,DN43,""),IF(COUNTIF($DK43:$ED43,DN43)&gt;5,DN43,""))</f>
        <v/>
      </c>
      <c r="DO44" s="108" t="str">
        <f t="shared" ref="DO44" si="1464">IF(J43="Hybrid - Thrust + 2 connections",IF(COUNTIF($DK43:$ED43,DO43)&gt;1,DO43,""),IF(COUNTIF($DK43:$ED43,DO43)&gt;5,DO43,""))</f>
        <v/>
      </c>
      <c r="DP44" s="108" t="str">
        <f t="shared" ref="DP44" si="1465">IF(K43="Hybrid - Thrust + 2 connections",IF(COUNTIF($DK43:$ED43,DP43)&gt;1,DP43,""),IF(COUNTIF($DK43:$ED43,DP43)&gt;5,DP43,""))</f>
        <v/>
      </c>
      <c r="DQ44" s="108" t="str">
        <f t="shared" ref="DQ44" si="1466">IF(L43="Hybrid - Thrust + 2 connections",IF(COUNTIF($DK43:$ED43,DQ43)&gt;1,DQ43,""),IF(COUNTIF($DK43:$ED43,DQ43)&gt;5,DQ43,""))</f>
        <v/>
      </c>
      <c r="DR44" s="108" t="str">
        <f t="shared" ref="DR44" si="1467">IF(M43="Hybrid - Thrust + 2 connections",IF(COUNTIF($DK43:$ED43,DR43)&gt;1,DR43,""),IF(COUNTIF($DK43:$ED43,DR43)&gt;5,DR43,""))</f>
        <v/>
      </c>
      <c r="DS44" s="108" t="str">
        <f t="shared" ref="DS44" si="1468">IF(N43="Hybrid - Thrust + 2 connections",IF(COUNTIF($DK43:$ED43,DS43)&gt;1,DS43,""),IF(COUNTIF($DK43:$ED43,DS43)&gt;5,DS43,""))</f>
        <v/>
      </c>
      <c r="DT44" s="108" t="str">
        <f t="shared" ref="DT44" si="1469">IF(O43="Hybrid - Thrust + 2 connections",IF(COUNTIF($DK43:$ED43,DT43)&gt;1,DT43,""),IF(COUNTIF($DK43:$ED43,DT43)&gt;5,DT43,""))</f>
        <v/>
      </c>
      <c r="DU44" s="108" t="str">
        <f t="shared" ref="DU44" si="1470">IF(P43="Hybrid - Thrust + 2 connections",IF(COUNTIF($DK43:$ED43,DU43)&gt;1,DU43,""),IF(COUNTIF($DK43:$ED43,DU43)&gt;5,DU43,""))</f>
        <v/>
      </c>
      <c r="DV44" s="108" t="str">
        <f t="shared" ref="DV44" si="1471">IF(Q43="Hybrid - Thrust + 2 connections",IF(COUNTIF($DK43:$ED43,DV43)&gt;1,DV43,""),IF(COUNTIF($DK43:$ED43,DV43)&gt;5,DV43,""))</f>
        <v/>
      </c>
      <c r="DW44" s="108" t="str">
        <f t="shared" ref="DW44" si="1472">IF(R43="Hybrid - Thrust + 2 connections",IF(COUNTIF($DK43:$ED43,DW43)&gt;1,DW43,""),IF(COUNTIF($DK43:$ED43,DW43)&gt;5,DW43,""))</f>
        <v/>
      </c>
      <c r="DX44" s="108" t="str">
        <f t="shared" ref="DX44" si="1473">IF(S43="Hybrid - Thrust + 2 connections",IF(COUNTIF($DK43:$ED43,DX43)&gt;1,DX43,""),IF(COUNTIF($DK43:$ED43,DX43)&gt;5,DX43,""))</f>
        <v/>
      </c>
      <c r="DY44" s="108" t="str">
        <f t="shared" ref="DY44" si="1474">IF(T43="Hybrid - Thrust + 2 connections",IF(COUNTIF($DK43:$ED43,DY43)&gt;1,DY43,""),IF(COUNTIF($DK43:$ED43,DY43)&gt;5,DY43,""))</f>
        <v/>
      </c>
      <c r="DZ44" s="108" t="str">
        <f t="shared" ref="DZ44" si="1475">IF(U43="Hybrid - Thrust + 2 connections",IF(COUNTIF($DK43:$ED43,DZ43)&gt;1,DZ43,""),IF(COUNTIF($DK43:$ED43,DZ43)&gt;5,DZ43,""))</f>
        <v/>
      </c>
      <c r="EA44" s="108" t="str">
        <f t="shared" ref="EA44" si="1476">IF(V43="Hybrid - Thrust + 2 connections",IF(COUNTIF($DK43:$ED43,EA43)&gt;1,EA43,""),IF(COUNTIF($DK43:$ED43,EA43)&gt;5,EA43,""))</f>
        <v/>
      </c>
      <c r="EB44" s="108" t="str">
        <f t="shared" ref="EB44" si="1477">IF(W43="Hybrid - Thrust + 2 connections",IF(COUNTIF($DK43:$ED43,EB43)&gt;1,EB43,""),IF(COUNTIF($DK43:$ED43,EB43)&gt;5,EB43,""))</f>
        <v/>
      </c>
      <c r="EC44" s="108" t="str">
        <f t="shared" ref="EC44" si="1478">IF(X43="Hybrid - Thrust + 2 connections",IF(COUNTIF($DK43:$ED43,EC43)&gt;1,EC43,""),IF(COUNTIF($DK43:$ED43,EC43)&gt;5,EC43,""))</f>
        <v/>
      </c>
      <c r="ED44" s="108" t="str">
        <f t="shared" ref="ED44" si="1479">IF(Y43="Hybrid - Thrust + 2 connections",IF(COUNTIF($DK43:$ED43,ED43)&gt;1,ED43,""),IF(COUNTIF($DK43:$ED43,ED43)&gt;5,ED43,""))</f>
        <v/>
      </c>
      <c r="EE44" s="108"/>
      <c r="EF44" s="108" t="str" cm="1">
        <f t="array" ref="EF44">IFERROR(INDEX(EG44:EZ44,MATCH(TRUE,INDEX((EG44:EZ44&lt;&gt;""),),0)),"")</f>
        <v/>
      </c>
      <c r="EG44" s="108" t="str">
        <f t="shared" ref="EG44" si="1480">IF(COUNTIF($EG43:$EZ43,EG43)&gt;3,EG43,"")</f>
        <v/>
      </c>
      <c r="EH44" s="108" t="str">
        <f t="shared" ref="EH44" si="1481">IF(COUNTIF($EG43:$EZ43,EH43)&gt;3,EH43,"")</f>
        <v/>
      </c>
      <c r="EI44" s="108" t="str">
        <f t="shared" ref="EI44" si="1482">IF(COUNTIF($EG43:$EZ43,EI43)&gt;3,EI43,"")</f>
        <v/>
      </c>
      <c r="EJ44" s="108" t="str">
        <f t="shared" ref="EJ44" si="1483">IF(COUNTIF($EG43:$EZ43,EJ43)&gt;3,EJ43,"")</f>
        <v/>
      </c>
      <c r="EK44" s="108" t="str">
        <f t="shared" ref="EK44" si="1484">IF(COUNTIF($EG43:$EZ43,EK43)&gt;3,EK43,"")</f>
        <v/>
      </c>
      <c r="EL44" s="108" t="str">
        <f t="shared" ref="EL44" si="1485">IF(COUNTIF($EG43:$EZ43,EL43)&gt;3,EL43,"")</f>
        <v/>
      </c>
      <c r="EM44" s="108" t="str">
        <f t="shared" ref="EM44" si="1486">IF(COUNTIF($EG43:$EZ43,EM43)&gt;3,EM43,"")</f>
        <v/>
      </c>
      <c r="EN44" s="108" t="str">
        <f t="shared" ref="EN44" si="1487">IF(COUNTIF($EG43:$EZ43,EN43)&gt;3,EN43,"")</f>
        <v/>
      </c>
      <c r="EO44" s="108" t="str">
        <f t="shared" ref="EO44" si="1488">IF(COUNTIF($EG43:$EZ43,EO43)&gt;3,EO43,"")</f>
        <v/>
      </c>
      <c r="EP44" s="108" t="str">
        <f t="shared" ref="EP44" si="1489">IF(COUNTIF($EG43:$EZ43,EP43)&gt;3,EP43,"")</f>
        <v/>
      </c>
      <c r="EQ44" s="108" t="str">
        <f t="shared" ref="EQ44" si="1490">IF(COUNTIF($EG43:$EZ43,EQ43)&gt;3,EQ43,"")</f>
        <v/>
      </c>
      <c r="ER44" s="108" t="str">
        <f t="shared" ref="ER44" si="1491">IF(COUNTIF($EG43:$EZ43,ER43)&gt;3,ER43,"")</f>
        <v/>
      </c>
      <c r="ES44" s="108" t="str">
        <f t="shared" ref="ES44" si="1492">IF(COUNTIF($EG43:$EZ43,ES43)&gt;3,ES43,"")</f>
        <v/>
      </c>
      <c r="ET44" s="108" t="str">
        <f t="shared" ref="ET44" si="1493">IF(COUNTIF($EG43:$EZ43,ET43)&gt;3,ET43,"")</f>
        <v/>
      </c>
      <c r="EU44" s="108" t="str">
        <f t="shared" ref="EU44" si="1494">IF(COUNTIF($EG43:$EZ43,EU43)&gt;3,EU43,"")</f>
        <v/>
      </c>
      <c r="EV44" s="108" t="str">
        <f t="shared" ref="EV44" si="1495">IF(COUNTIF($EG43:$EZ43,EV43)&gt;3,EV43,"")</f>
        <v/>
      </c>
      <c r="EW44" s="108" t="str">
        <f t="shared" ref="EW44" si="1496">IF(COUNTIF($EG43:$EZ43,EW43)&gt;3,EW43,"")</f>
        <v/>
      </c>
      <c r="EX44" s="108" t="str">
        <f t="shared" ref="EX44" si="1497">IF(COUNTIF($EG43:$EZ43,EX43)&gt;3,EX43,"")</f>
        <v/>
      </c>
      <c r="EY44" s="108" t="str">
        <f t="shared" ref="EY44" si="1498">IF(COUNTIF($EG43:$EZ43,EY43)&gt;3,EY43,"")</f>
        <v/>
      </c>
      <c r="EZ44" s="108" t="str">
        <f t="shared" ref="EZ44" si="1499">IF(COUNTIF($EG43:$EZ43,EZ43)&gt;3,EZ43,"")</f>
        <v/>
      </c>
      <c r="FA44" s="108"/>
      <c r="FB44" s="108"/>
      <c r="FC44" s="108"/>
      <c r="FD44" s="108"/>
      <c r="FE44" s="108"/>
      <c r="FF44" s="108"/>
      <c r="FG44" s="108"/>
      <c r="FH44" s="108"/>
      <c r="FI44" s="108" t="str">
        <f t="shared" ref="FI44" si="1500">IF($F43="Hybrid - Thrust + 2 connections",COUNTBLANK(J43:L43),"")</f>
        <v/>
      </c>
      <c r="FJ44" s="108"/>
      <c r="FN44" s="111"/>
    </row>
    <row r="45" spans="1:170" x14ac:dyDescent="0.3">
      <c r="A45" s="40" t="str">
        <f>IF(AND(E43="",A43&lt;&gt;""),IF(BS43=$BS$18,"",IF(C43&lt;&gt;"",IF(D43=59,MINUTE(BS43)+1,MINUTE(BS43)),"")),"")</f>
        <v/>
      </c>
      <c r="B45" s="41" t="str">
        <f>IF(AND(E43="",B43&lt;&gt;""),IF(BS43=$BS$18,"",IF(C43&lt;&gt;"",IF(D43=59,0,SECOND(BS43)+1),"")),"")</f>
        <v/>
      </c>
      <c r="C45" s="51"/>
      <c r="D45" s="51"/>
      <c r="E45" s="9"/>
      <c r="F45" s="52"/>
      <c r="G45" s="43" t="str">
        <f>IF(F45&lt;&gt;"",IF(OR(F45="Transition",F45="Transition - Surface Connection"),0,MAX($G$19:G44)+1),"")</f>
        <v/>
      </c>
      <c r="H45" s="57" t="str">
        <f t="shared" ref="H45" si="1501">IFERROR(IF(E46="3","",IF(OR(F45="Hybrid - min 4 swimmers (no DD)",LEFT(F45,5)="Trans"),"No DD",CONCATENATE("BM = ",I46))),"")</f>
        <v/>
      </c>
      <c r="I45" s="58"/>
      <c r="J45" s="130"/>
      <c r="K45" s="137"/>
      <c r="L45" s="137"/>
      <c r="M45" s="137"/>
      <c r="N45" s="137"/>
      <c r="O45" s="137"/>
      <c r="P45" s="137"/>
      <c r="Q45" s="137"/>
      <c r="R45" s="137"/>
      <c r="S45" s="137"/>
      <c r="T45" s="137"/>
      <c r="U45" s="137"/>
      <c r="V45" s="137"/>
      <c r="W45" s="137"/>
      <c r="X45" s="137"/>
      <c r="Y45" s="137"/>
      <c r="Z45" s="137"/>
      <c r="AA45" s="137"/>
      <c r="AB45" s="137"/>
      <c r="AC45" s="137"/>
      <c r="AD45" s="191"/>
      <c r="AE45" s="44"/>
      <c r="AF45" s="75"/>
      <c r="AG45" s="75"/>
      <c r="AH45" s="110"/>
      <c r="AI45" s="110"/>
      <c r="AJ45" s="110"/>
      <c r="AK45" s="110"/>
      <c r="AL45" s="110"/>
      <c r="AM45" s="110"/>
      <c r="AN45" s="110"/>
      <c r="AO45" s="110"/>
      <c r="AP45" s="110"/>
      <c r="AQ45" s="110"/>
      <c r="AR45" s="110"/>
      <c r="AS45" s="110"/>
      <c r="AT45" s="110" t="str">
        <f>IFERROR(IF(F45&lt;&gt;"",INDEX(Parts_Active,MATCH(F45,Parts_Active,0)),""),"No")</f>
        <v/>
      </c>
      <c r="AU45" s="110"/>
      <c r="AV45" s="110" t="str">
        <f t="shared" ref="AV45" si="1502">IF($E46="H",IF($F45="Hybrid - Thrust + 2 connections","Hybrid_Mix_Req","HybridDD_Code"),IF($E46=3,"TreDD_Code",IF($E46="PA","AcroPair_Code",IF(LEFT($F45,4)="Acro",CONCATENATE(AV$16,$E46,"_Code"),"Data!$BI$1:$BI$5"))))</f>
        <v>Data!$BI$1:$BI$5</v>
      </c>
      <c r="AW45" s="110" t="str">
        <f t="shared" ref="AW45" si="1503">IF($E46="H",IF($F45="Hybrid - Thrust + 2 connections","Hybrid_Mix_Req","HybridDD_Code"),IF($E46=3,"TreDD_Code",IF($E46="PA","AcroPair_Code",IF(LEFT($F45,4)="Acro",CONCATENATE(AW$16,$E46,"_Code"),"Data!$BI$1:$BI$5"))))</f>
        <v>Data!$BI$1:$BI$5</v>
      </c>
      <c r="AX45" s="110" t="str">
        <f t="shared" ref="AX45" si="1504">IF($E46="H",IF($F45="Hybrid - Thrust + 2 connections","Hybrid_Mix_Req","HybridDD_Code"),IF($E46=3,"TreDD_Code",IF($E46="PA","AcroPair_Code",IF(LEFT($F45,4)="Acro",CONCATENATE(AX$16,$E46,"_Code"),"Data!$BI$1:$BI$5"))))</f>
        <v>Data!$BI$1:$BI$5</v>
      </c>
      <c r="AY45" s="110" t="str">
        <f t="shared" ref="AY45" si="1505">IF($E46="H",IF($F45="Hybrid - Thrust + 2 connections","Data!$BI$1:$BI$5","HybridDD_Code"),IF($E46=3,"Data!$BI$1:$BI$5",IF(LEFT($F45,4)="Acro",CONCATENATE(AY$16,$E46,"_Code"),IF($E46="PA","","Data!$BI$1:$BI$5"))))</f>
        <v>Data!$BI$1:$BI$5</v>
      </c>
      <c r="AZ45" s="110" t="str">
        <f t="shared" ref="AZ45" si="1506">IF($E46="H",IF($F45="Hybrid - Thrust + 2 connections","Data!$BI$1:$BI$5","HybridDD_Code"),IF($E46=3,"Data!$BI$1:$BI$5",IF(LEFT($F45,4)="Acro",CONCATENATE(AZ$16,$E46,"_Code"),IF($E46="PA","","Data!$BI$1:$BI$5"))))</f>
        <v>Data!$BI$1:$BI$5</v>
      </c>
      <c r="BA45" s="110" t="str">
        <f t="shared" ref="BA45" si="1507">IF($E46="H",IF($F45="Hybrid - Thrust + 2 connections","Data!$BI$1:$BI$5","HybridDD_Code"),IF($E46=3,"Data!$BI$1:$BI$5",IF(LEFT($F45,4)="Acro",CONCATENATE(BA$16,$E46,"_Code"),IF($E46="PA","","Data!$BI$1:$BI$5"))))</f>
        <v>Data!$BI$1:$BI$5</v>
      </c>
      <c r="BB45" s="110" t="str">
        <f t="shared" ref="BB45" si="1508">IF($E46="H",IF($F45="Hybrid - Thrust + 2 connections","Data!$BI$1:$BI$5","HybridDD_Code"),IF($E46=3,"Data!$BI$1:$BI$5",IF(LEFT($F45,4)="Acro",CONCATENATE(BB$16,$E46,"_Code"),IF($E46="PA","","Data!$BI$1:$BI$5"))))</f>
        <v>Data!$BI$1:$BI$5</v>
      </c>
      <c r="BC45" s="110" t="str">
        <f t="shared" ref="BC45" si="1509">IF($E46="H",IF($F45="Hybrid - Thrust + 2 connections","Data!$BI$1:$BI$5","HybridDD_Code"),IF($E46=3,"Data!$BI$1:$BI$5",IF(LEFT($F45,4)="Acro",CONCATENATE(BC$16,$E46,"_Code"),IF($E46="PA","","Data!$BI$1:$BI$5"))))</f>
        <v>Data!$BI$1:$BI$5</v>
      </c>
      <c r="BD45" s="110" t="str">
        <f t="shared" ref="BD45" si="1510">IF($E46="H",IF($F45="Hybrid - Thrust + 2 connections","Data!$BI$1:$BI$5","HybridDD_Code"),IF($E46=3,"Data!$BI$1:$BI$5",IF(LEFT($F45,4)="Acro",CONCATENATE(BD$16,$E46,"_Code"),IF($E46="PA","","Data!$BI$1:$BI$5"))))</f>
        <v>Data!$BI$1:$BI$5</v>
      </c>
      <c r="BE45" s="110" t="str">
        <f t="shared" ref="BE45" si="1511">IF($E46="H",IF($F45="Hybrid - Thrust + 2 connections","Data!$BI$1:$BI$5","HybridDD_Code"),"Data!$BI$1:$BI$5")</f>
        <v>Data!$BI$1:$BI$5</v>
      </c>
      <c r="BF45" s="110" t="str">
        <f t="shared" si="1139"/>
        <v>Data!$BI$1:$BI$5</v>
      </c>
      <c r="BG45" s="110" t="str">
        <f t="shared" si="1139"/>
        <v>Data!$BI$1:$BI$5</v>
      </c>
      <c r="BH45" s="110" t="str">
        <f t="shared" si="1139"/>
        <v>Data!$BI$1:$BI$5</v>
      </c>
      <c r="BI45" s="110" t="str">
        <f t="shared" si="1139"/>
        <v>Data!$BI$1:$BI$5</v>
      </c>
      <c r="BJ45" s="110" t="str">
        <f t="shared" si="1139"/>
        <v>Data!$BI$1:$BI$5</v>
      </c>
      <c r="BK45" s="110" t="str">
        <f t="shared" si="1139"/>
        <v>Data!$BI$1:$BI$5</v>
      </c>
      <c r="BL45" s="110" t="str">
        <f t="shared" si="1139"/>
        <v>Data!$BI$1:$BI$5</v>
      </c>
      <c r="BM45" s="110" t="str">
        <f t="shared" si="1139"/>
        <v>Data!$BI$1:$BI$5</v>
      </c>
      <c r="BN45" s="110" t="str">
        <f t="shared" si="1139"/>
        <v>Data!$BI$1:$BI$5</v>
      </c>
      <c r="BO45" s="110" t="str">
        <f t="shared" si="1139"/>
        <v>Data!$BI$1:$BI$5</v>
      </c>
      <c r="BP45" s="110"/>
      <c r="BQ45" s="110"/>
      <c r="BR45" s="113" t="str">
        <f t="shared" ref="BR45" si="1512">IFERROR(TIME(0,A45,B45),"")</f>
        <v/>
      </c>
      <c r="BS45" s="114">
        <f>IFERROR(TIME(0,C45,D45),"")</f>
        <v>0</v>
      </c>
      <c r="BT45" s="114" t="str">
        <f t="shared" ref="BT45" si="1513">IF(BS45&gt;$D$12,"X","")</f>
        <v/>
      </c>
      <c r="BU45" s="108" t="str">
        <f>IF(AND(F45="Hybrid - Thrust + 2 connections",OR(LEFT(J45,1)="T",LEFT(K45,1)="T",LEFT(L45,1)="T",LEFT(NG45,1)="T",LEFT(M45,1)="T",LEFT(N45,1)="T",LEFT(O45,1)="T",LEFT(P45,1)="T",LEFT(Q45,1)="T",LEFT(R45,1)="T",LEFT(S45,1)="T",LEFT(T45,1)="T",LEFT(U45,1)="T",LEFT(V45,1)="T",LEFT(W45,1)="T",LEFT(X45,1)="T",LEFT(AA45,1)="T",LEFT(AB45,1)="T",LEFT(AC45,1)="T")),IF(OR(LEN(J45)=2,LEN(K45)=2,LEN(L45)=2,LEN(M45)=2,LEN(N45)=2,LEN(O45)=2,LEN(P45)=2,LEN(Q45)=2,LEN(R45)=2,LEN(S45)=2,LEN(T45)=2,LEN(U45)=2,LEN(V45)=2,LEN(W45)=2,LEN(X45)=2,LEN(Y45)=2,LEN(Z45)=2,LEN(AA45)=2,LEN(AB45)=2,LEN(AC45)=2),"X",""),"")</f>
        <v/>
      </c>
      <c r="BW45" s="108" t="str">
        <f>IF(LEFT(F45,4)="Acro",IF(AND(N45&lt;&gt;"",M45=RIGHT(N45,2)),"X","OK"),"")</f>
        <v/>
      </c>
      <c r="BX45" s="110" t="str">
        <f t="shared" ref="BX45:CE45" si="1514">IFERROR(IF(AND(LEFT($F45,4)="Acro",INDEX(Requ_App,MATCH(AV45,Requ_Code,0))="No"),"X",""),"")</f>
        <v/>
      </c>
      <c r="BY45" s="110" t="str">
        <f t="shared" si="1514"/>
        <v/>
      </c>
      <c r="BZ45" s="110" t="str">
        <f t="shared" si="1514"/>
        <v/>
      </c>
      <c r="CA45" s="110" t="str">
        <f t="shared" si="1514"/>
        <v/>
      </c>
      <c r="CB45" s="110" t="str">
        <f t="shared" si="1514"/>
        <v/>
      </c>
      <c r="CC45" s="110" t="str">
        <f t="shared" si="1514"/>
        <v/>
      </c>
      <c r="CD45" s="110" t="str">
        <f t="shared" si="1514"/>
        <v/>
      </c>
      <c r="CE45" s="110" t="str">
        <f t="shared" si="1514"/>
        <v/>
      </c>
      <c r="CF45" s="110" t="str">
        <f>IFERROR(IF(AND(LEFT($F45,4)="Acro",INDEX(Requ_App,MATCH(BC45,Requ_Code,0))="No"),"X",""),"")</f>
        <v/>
      </c>
      <c r="CG45" s="108" t="str">
        <f t="shared" si="9"/>
        <v/>
      </c>
      <c r="CH45" s="108" t="str">
        <f t="shared" si="10"/>
        <v/>
      </c>
      <c r="CI45" s="108" t="str">
        <f t="shared" si="11"/>
        <v/>
      </c>
      <c r="CJ45" s="108" t="str">
        <f t="shared" si="12"/>
        <v/>
      </c>
      <c r="CN45" s="108">
        <f t="shared" ref="CN45" si="1515">IF(AND(E46="A",OR(Q45="Grip",Q45="Conn",Q45="Catch")),"A1",IF(AND(E46="A",OR(Q45="Hula",Q45="RetSq",Q45="RetPa")),"A2",IF(AND(E46="B",OR(Q45="Twirl",Q45="RotF")),"B1",IF(AND(E46="B",OR(Q45="Moon",Q45="Mov")),"B2",IF(AND(E46="B",Q45="Hold"),"B3",IF(AND(E46="P",OR(Q45="Porp",Q45="Spitch")),"P1",IF(AND(E46="P",OR(Q45="Dive",Q45="Ps1",Q45="Ps1t0.5",Q45="Ps1op",Q45="Ps1t0,5o",Q45="Ps1t1",Q45="CH+")),"P2",IF(AND(E46="P",OR(Q45="Spider",Q45="Climb")),"P3",IF(AND(E46="P",OR(Q45="Fall",Q45="FTurn")),"P4",IF(AND(E46="C",OR(Q45="Jump",Q45="Jump&gt;",Q45="On1Foot",Q45="1F&gt;1F")),"C1",IF(AND(E46="C",OR(Q45="Run",Q45="BRun")),"C2",1)))))))))))</f>
        <v>1</v>
      </c>
      <c r="CO45" s="108">
        <f t="shared" ref="CO45" si="1516">IF(AND(E46="A",OR(R45="Grip",R45="Conn",R45="Catch")),"A1",IF(AND(E46="A",OR(R45="Hula",R45="RetSq",R45="RetPa")),"A2",IF(AND(E46="B",OR(R45="Twirl",R45="RotF")),"B1",IF(AND(E46="B",OR(R45="Moon",R45="Mov")),"B3",IF(AND(E46="B",R45="Hold"),"B2",IF(AND(E46="P",OR(R45="Porp",R45="Spitch")),"P1",IF(AND(E46="P",OR(R45="Dive",R45="Ps1",R45="Ps1t0.5",R45="Ps1op",R45="Ps1t0,5o",R45="Ps1t1",R45="CH+")),"P2",IF(AND(E46="P",OR(R45="Spider",R45="Climb")),"P3",IF(AND(E46="P",OR(R45="Fall",R45="FTurn")),"P4",IF(AND(E46="C",OR(R45="Jump",R45="Jump&gt;",R45="On1Foot",R45="1F&gt;1F")),"C1",IF(AND(E46="C",OR(R45="Run",R45="BRun")),"C2",2)))))))))))</f>
        <v>2</v>
      </c>
      <c r="CP45" s="108" t="str">
        <f t="shared" ref="CP45" si="1517">IF(AND(LEFT(F45,4)="Acro",Q45&lt;&gt;"",OR(Q45=R45,CN45=CO45)),IF(R45="C-Roll","","X"),IF(OR(AND(E46="A",Q45="Catch",R45&lt;&gt;"Dbl"),AND(E46="A",R45="Catch",Q45&lt;&gt;"Dbl")),"X",""))</f>
        <v/>
      </c>
      <c r="CQ45" s="108" t="str">
        <f t="shared" ref="CQ45" si="1518">IF(E46="PA",J45,"")</f>
        <v/>
      </c>
      <c r="CR45" s="108">
        <v>27</v>
      </c>
      <c r="CT45" s="108" t="str">
        <f t="shared" ref="CT45" si="1519">IF(AND($E46="A",COUNTIF($DC$19:$DD$68,DC45)&gt;1),DC45,"")</f>
        <v/>
      </c>
      <c r="CU45" s="108" t="str">
        <f t="shared" ref="CU45" si="1520">IF(AND($E46="A",COUNTIF($DC$19:$DD$68,DD45)&gt;1),DD45,"")</f>
        <v/>
      </c>
      <c r="CV45" s="108" t="str">
        <f t="shared" ref="CV45" ca="1" si="1521">IF(AND($E46="B",COUNTIF($J$19:$J$68,J45)&gt;1),J45,"")</f>
        <v/>
      </c>
      <c r="CW45" s="108" t="str">
        <f t="shared" ref="CW45" ca="1" si="1522">IF(AND($E46="B",COUNTIF($K$19:$K$68,K45)&gt;1),K45,"")</f>
        <v/>
      </c>
      <c r="CX45" s="108" t="str">
        <f t="shared" ref="CX45" ca="1" si="1523">IF(AND($E46="C",COUNTIF($J$19:$J$68,J45)&gt;1),J45,"")</f>
        <v/>
      </c>
      <c r="CY45" s="108" t="str">
        <f t="shared" ref="CY45" ca="1" si="1524">IF(AND($E46="P",COUNTIF($J$19:$J$68,J45)&gt;1),J45,"")</f>
        <v/>
      </c>
      <c r="CZ45" s="108" t="str">
        <f t="shared" ref="CZ45" ca="1" si="1525">IF(AND($E46="P",COUNTIF($K$19:$K$68,K45)&gt;1),K45,"")</f>
        <v/>
      </c>
      <c r="DA45" s="108" t="str">
        <f t="shared" ref="DA45" si="1526">IF(AND($E46="P",COUNTIF($DC$19:$DD$68,DC45)&gt;1),DC45,"")</f>
        <v/>
      </c>
      <c r="DB45" s="108" t="str">
        <f t="shared" ref="DB45" si="1527">IF(AND($E46="P",COUNTIF($DC$19:$DD$68,DD45)&gt;1),DD45,"")</f>
        <v/>
      </c>
      <c r="DC45" s="108" t="str">
        <f t="shared" ref="DC45" si="1528">IFERROR(IF(OR(E46="A",E46="P"),M45,""),"")</f>
        <v/>
      </c>
      <c r="DD45" s="108" t="str">
        <f t="shared" ref="DD45" si="1529">IFERROR(IF(OR(E46="A",E46="P"),RIGHT(N45,2),""),"")</f>
        <v/>
      </c>
      <c r="DF45" s="108" t="str">
        <f t="shared" ref="DF45" si="1530">IF(AND($F$8="Open Team Acrobatic",LEFT(F45,4)="Acro"),E46,"")</f>
        <v/>
      </c>
      <c r="DG45" s="108" t="str">
        <f t="shared" ref="DG45" si="1531">IFERROR(IF(HLOOKUP(DF45,$DD$12:$DG$13,2,FALSE)&gt;2,"X",""),"")</f>
        <v/>
      </c>
      <c r="DI45" s="108" t="str">
        <f t="shared" ref="DI45" si="1532">IF(OR(AND(F45="Hybrid - Thrust + 2 connections",DI46="T"),AND(F45="Hybrid - Free",DI46&lt;&gt;"")),"X","")</f>
        <v/>
      </c>
      <c r="DK45" s="108">
        <f t="shared" ref="DK45" si="1533">IFERROR(IF(AND($E46="H",J45&lt;&gt;""),IF(OR(LEFT(J45,1)="T",LEFT(J45,1)="S",LEFT(J45,1)="A",LEFT(J45,1)="F",LEFT(J45,1)="C"),LEFT(J45,1),"R"),DK$18),"")</f>
        <v>1</v>
      </c>
      <c r="DL45" s="108">
        <f t="shared" ref="DL45" si="1534">IFERROR(IF(AND($E46="H",K45&lt;&gt;""),IF(OR(LEFT(K45,1)="T",LEFT(K45,1)="S",LEFT(K45,1)="A",LEFT(K45,1)="F",LEFT(K45,1)="C"),LEFT(K45,1),"R"),DL$18),"")</f>
        <v>2</v>
      </c>
      <c r="DM45" s="108">
        <f t="shared" ref="DM45" si="1535">IFERROR(IF(AND($E46="H",L45&lt;&gt;""),IF(OR(LEFT(L45,1)="T",LEFT(L45,1)="S",LEFT(L45,1)="A",LEFT(L45,1)="F",LEFT(L45,1)="C"),LEFT(L45,1),"R"),DM$18),"")</f>
        <v>3</v>
      </c>
      <c r="DN45" s="108">
        <f t="shared" ref="DN45" si="1536">IFERROR(IF(AND($E46="H",M45&lt;&gt;""),IF(OR(LEFT(M45,1)="T",LEFT(M45,1)="S",LEFT(M45,1)="A",LEFT(M45,1)="F",LEFT(M45,1)="C"),LEFT(M45,1),"R"),DN$18),"")</f>
        <v>4</v>
      </c>
      <c r="DO45" s="108">
        <f t="shared" ref="DO45" si="1537">IFERROR(IF(AND($E46="H",N45&lt;&gt;""),IF(OR(LEFT(N45,1)="T",LEFT(N45,1)="S",LEFT(N45,1)="A",LEFT(N45,1)="F",LEFT(N45,1)="C"),LEFT(N45,1),"R"),DO$18),"")</f>
        <v>5</v>
      </c>
      <c r="DP45" s="108">
        <f t="shared" ref="DP45" si="1538">IFERROR(IF(AND($E46="H",O45&lt;&gt;""),IF(OR(LEFT(O45,1)="T",LEFT(O45,1)="S",LEFT(O45,1)="A",LEFT(O45,1)="F",LEFT(O45,1)="C"),LEFT(O45,1),"R"),DP$18),"")</f>
        <v>6</v>
      </c>
      <c r="DQ45" s="108">
        <f t="shared" ref="DQ45" si="1539">IFERROR(IF(AND($E46="H",P45&lt;&gt;""),IF(OR(LEFT(P45,1)="T",LEFT(P45,1)="S",LEFT(P45,1)="A",LEFT(P45,1)="F",LEFT(P45,1)="C"),LEFT(P45,1),"R"),DQ$18),"")</f>
        <v>7</v>
      </c>
      <c r="DR45" s="108">
        <f t="shared" ref="DR45" si="1540">IFERROR(IF(AND($E46="H",Q45&lt;&gt;""),IF(OR(LEFT(Q45,1)="T",LEFT(Q45,1)="S",LEFT(Q45,1)="A",LEFT(Q45,1)="F",LEFT(Q45,1)="C"),LEFT(Q45,1),"R"),DR$18),"")</f>
        <v>8</v>
      </c>
      <c r="DS45" s="108">
        <f t="shared" ref="DS45" si="1541">IFERROR(IF(AND($E46="H",R45&lt;&gt;""),IF(OR(LEFT(R45,1)="T",LEFT(R45,1)="S",LEFT(R45,1)="A",LEFT(R45,1)="F",LEFT(R45,1)="C"),LEFT(R45,1),"R"),DS$18),"")</f>
        <v>9</v>
      </c>
      <c r="DT45" s="108">
        <f t="shared" ref="DT45" si="1542">IFERROR(IF(AND($E46="H",S45&lt;&gt;""),IF(OR(LEFT(S45,1)="T",LEFT(S45,1)="S",LEFT(S45,1)="A",LEFT(S45,1)="F",LEFT(S45,1)="C"),LEFT(S45,1),"R"),DT$18),"")</f>
        <v>10</v>
      </c>
      <c r="DU45" s="108">
        <f t="shared" ref="DU45" si="1543">IFERROR(IF(AND($E46="H",T45&lt;&gt;""),IF(OR(LEFT(T45,1)="T",LEFT(T45,1)="S",LEFT(T45,1)="A",LEFT(T45,1)="F",LEFT(T45,1)="C"),LEFT(T45,1),"R"),DU$18),"")</f>
        <v>11</v>
      </c>
      <c r="DV45" s="108">
        <f t="shared" ref="DV45" si="1544">IFERROR(IF(AND($E46="H",U45&lt;&gt;""),IF(OR(LEFT(U45,1)="T",LEFT(U45,1)="S",LEFT(U45,1)="A",LEFT(U45,1)="F",LEFT(U45,1)="C"),LEFT(U45,1),"R"),DV$18),"")</f>
        <v>12</v>
      </c>
      <c r="DW45" s="108">
        <f t="shared" ref="DW45" si="1545">IFERROR(IF(AND($E46="H",V45&lt;&gt;""),IF(OR(LEFT(V45,1)="T",LEFT(V45,1)="S",LEFT(V45,1)="A",LEFT(V45,1)="F",LEFT(V45,1)="C"),LEFT(V45,1),"R"),DW$18),"")</f>
        <v>13</v>
      </c>
      <c r="DX45" s="108">
        <f t="shared" ref="DX45" si="1546">IFERROR(IF(AND($E46="H",W45&lt;&gt;""),IF(OR(LEFT(W45,1)="T",LEFT(W45,1)="S",LEFT(W45,1)="A",LEFT(W45,1)="F",LEFT(W45,1)="C"),LEFT(W45,1),"R"),DX$18),"")</f>
        <v>14</v>
      </c>
      <c r="DY45" s="108">
        <f t="shared" ref="DY45" si="1547">IFERROR(IF(AND($E46="H",X45&lt;&gt;""),IF(OR(LEFT(X45,1)="T",LEFT(X45,1)="S",LEFT(X45,1)="A",LEFT(X45,1)="F",LEFT(X45,1)="C"),LEFT(X45,1),"R"),DY$18),"")</f>
        <v>15</v>
      </c>
      <c r="DZ45" s="108">
        <f t="shared" ref="DZ45" si="1548">IFERROR(IF(AND($E46="H",Y45&lt;&gt;""),IF(OR(LEFT(Y45,1)="T",LEFT(Y45,1)="S",LEFT(Y45,1)="A",LEFT(Y45,1)="F",LEFT(Y45,1)="C"),LEFT(Y45,1),"R"),DZ$18),"")</f>
        <v>16</v>
      </c>
      <c r="EA45" s="108">
        <f t="shared" ref="EA45" si="1549">IFERROR(IF(AND($E46="H",Z45&lt;&gt;""),IF(OR(LEFT(Z45,1)="T",LEFT(Z45,1)="S",LEFT(Z45,1)="A",LEFT(Z45,1)="F",LEFT(Z45,1)="C"),LEFT(Z45,1),"R"),EA$18),"")</f>
        <v>17</v>
      </c>
      <c r="EB45" s="108">
        <f t="shared" ref="EB45" si="1550">IFERROR(IF(AND($E46="H",AA45&lt;&gt;""),IF(OR(LEFT(AA45,1)="T",LEFT(AA45,1)="S",LEFT(AA45,1)="A",LEFT(AA45,1)="F",LEFT(AA45,1)="C"),LEFT(AA45,1),"R"),EB$18),"")</f>
        <v>18</v>
      </c>
      <c r="EC45" s="108">
        <f t="shared" ref="EC45" si="1551">IFERROR(IF(AND($E46="H",AB45&lt;&gt;""),IF(OR(LEFT(AB45,1)="T",LEFT(AB45,1)="S",LEFT(AB45,1)="A",LEFT(AB45,1)="F",LEFT(AB45,1)="C"),LEFT(AB45,1),"R"),EC$18),"")</f>
        <v>19</v>
      </c>
      <c r="ED45" s="108">
        <f t="shared" ref="ED45" si="1552">IFERROR(IF(AND($E46="H",AC45&lt;&gt;""),IF(OR(LEFT(AC45,1)="T",LEFT(AC45,1)="S",LEFT(AC45,1)="A",LEFT(AC45,1)="F",LEFT(AC45,1)="C"),LEFT(AC45,1),"R"),ED$18),"")</f>
        <v>20</v>
      </c>
      <c r="EE45" s="108"/>
      <c r="EF45" s="108"/>
      <c r="EG45" s="108">
        <f t="shared" ref="EG45:EZ45" si="1553">IFERROR(IF(J45&lt;&gt;"",UPPER(J45),EG$18),EG$18)</f>
        <v>1</v>
      </c>
      <c r="EH45" s="108">
        <f t="shared" si="1553"/>
        <v>2</v>
      </c>
      <c r="EI45" s="108">
        <f t="shared" si="1553"/>
        <v>3</v>
      </c>
      <c r="EJ45" s="108">
        <f t="shared" si="1553"/>
        <v>4</v>
      </c>
      <c r="EK45" s="108">
        <f t="shared" si="1553"/>
        <v>5</v>
      </c>
      <c r="EL45" s="108">
        <f t="shared" si="1553"/>
        <v>6</v>
      </c>
      <c r="EM45" s="108">
        <f t="shared" si="1553"/>
        <v>7</v>
      </c>
      <c r="EN45" s="108">
        <f t="shared" si="1553"/>
        <v>8</v>
      </c>
      <c r="EO45" s="108">
        <f t="shared" si="1553"/>
        <v>9</v>
      </c>
      <c r="EP45" s="108">
        <f t="shared" si="1553"/>
        <v>10</v>
      </c>
      <c r="EQ45" s="108">
        <f t="shared" si="1553"/>
        <v>11</v>
      </c>
      <c r="ER45" s="108">
        <f t="shared" si="1553"/>
        <v>12</v>
      </c>
      <c r="ES45" s="108">
        <f t="shared" si="1553"/>
        <v>13</v>
      </c>
      <c r="ET45" s="108">
        <f t="shared" si="1553"/>
        <v>14</v>
      </c>
      <c r="EU45" s="108">
        <f t="shared" si="1553"/>
        <v>15</v>
      </c>
      <c r="EV45" s="108">
        <f t="shared" si="1553"/>
        <v>16</v>
      </c>
      <c r="EW45" s="108">
        <f t="shared" si="1553"/>
        <v>17</v>
      </c>
      <c r="EX45" s="108">
        <f t="shared" si="1553"/>
        <v>18</v>
      </c>
      <c r="EY45" s="108">
        <f t="shared" si="1553"/>
        <v>19</v>
      </c>
      <c r="EZ45" s="108">
        <f t="shared" si="1553"/>
        <v>20</v>
      </c>
      <c r="FA45" s="108"/>
      <c r="FB45" s="108">
        <f t="shared" ref="FB45" si="1554">COUNTIF($DK45:$ED45,FB$18)</f>
        <v>0</v>
      </c>
      <c r="FC45" s="108">
        <f t="shared" si="934"/>
        <v>0</v>
      </c>
      <c r="FD45" s="108">
        <f t="shared" si="934"/>
        <v>0</v>
      </c>
      <c r="FE45" s="108">
        <f t="shared" si="934"/>
        <v>0</v>
      </c>
      <c r="FF45" s="108">
        <f t="shared" si="934"/>
        <v>0</v>
      </c>
      <c r="FG45" s="108">
        <f t="shared" si="934"/>
        <v>0</v>
      </c>
      <c r="FH45" s="108"/>
      <c r="FI45" s="108" t="str">
        <f t="shared" ref="FI45" si="1555">IF(AND($F45="Hybrid - Thrust + 2 connections",FI46=0,LEFT($J45,1)="C",LEFT($K45,1)="C",LEFT($L45,1)="C"),"X","")</f>
        <v/>
      </c>
      <c r="FJ45" s="108"/>
      <c r="FL45" s="120" t="e">
        <f>IF(OR(LEFT(#REF!,2)="PL",LEFT(#REF!,2)="PL",LEFT(#REF!,2)="PL",LEFT(#REF!,2)="PL",LEFT(#REF!,2)="PL"),IF($BS$17-BR45&gt;$FL$17,"X",""),"")</f>
        <v>#REF!</v>
      </c>
      <c r="FM45" s="120"/>
      <c r="FN45" s="111" t="str">
        <f>IF(E46=3,_xlfn.NUMBERVALUE(LEFT(J45,1)),"")</f>
        <v/>
      </c>
    </row>
    <row r="46" spans="1:170" x14ac:dyDescent="0.3">
      <c r="A46" s="40"/>
      <c r="B46" s="41"/>
      <c r="C46" s="41"/>
      <c r="D46" s="41"/>
      <c r="E46" s="21" t="str">
        <f t="shared" ref="E46" si="1556">IF(F45="Acrobatic - Pair","PA",IF(F45="Acrobatic Airborn","A",IF(F45="Acrobatic Balance","B",IF(F45="Acrobatic Combined","C",IF(F45="Acrobatic Platform","P",IF(F45="Technical Required Element",3,IF(LEFT(F45,4)="Hybr","H","")))))))</f>
        <v/>
      </c>
      <c r="F46" s="21" t="str">
        <f t="shared" ref="F46" si="1557">IF(AND(F45="Hybrid - Thrust + 2 connections",BU45="X"),"Hybrid - Thrust",IF(OR(E46="A",E46="B",E46="C",E46="P"),"Acrobatic",""))</f>
        <v/>
      </c>
      <c r="G46" s="43"/>
      <c r="H46" s="222" t="str">
        <f t="shared" ref="H46" si="1558">IF(E46="PA",IF(OR(LEFT(J45,1)="L",LEFT(J45,1)="S"),"A-Pair-Lift",IF(OR(LEFT(J45,1)="W",LEFT(J45,1)="T"),"A-Pair-Throw",IF(LEFT(J45,1)="J","A-Pair-Jump","A-Pair"))),IF(OR(E46="A",E46="B",E46="C",E46="P"),CONCATENATE("Acro-",E46),""))</f>
        <v/>
      </c>
      <c r="I46" s="216" t="e">
        <f t="shared" ref="I46" si="1559">IF(OR(F45="Hybrid - min 4 swimmers (no DD)",LEFT(F45,5)="Trans"),0,INDEX($BV$3:$BV$9,MATCH(E46,$BU$3:$BU$9,0)))</f>
        <v>#N/A</v>
      </c>
      <c r="J46" s="210">
        <f t="shared" ref="J46" ca="1" si="1560">IFERROR(IF($H45="No DD",0,IF(OR(ISBLANK(J45),J45="N/A"),0,INDEX(INDIRECT(AV46),MATCH(J45,INDIRECT(AV45),0)))),0)</f>
        <v>0</v>
      </c>
      <c r="K46" s="210">
        <f t="shared" ref="K46" ca="1" si="1561">IFERROR(IF($H45="No DD",0,IF(OR(ISBLANK(K45),K45="N/A"),0,INDEX(INDIRECT(AW46),MATCH(K45,INDIRECT(AW45),0)))),0)</f>
        <v>0</v>
      </c>
      <c r="L46" s="210">
        <f t="shared" ref="L46" ca="1" si="1562">IFERROR(IF($H45="No DD",0,IF(OR(ISBLANK(L45),L45="N/A"),0,INDEX(INDIRECT(AX46),MATCH(L45,INDIRECT(AX45),0)))),0)</f>
        <v>0</v>
      </c>
      <c r="M46" s="210">
        <f t="shared" ref="M46" ca="1" si="1563">IFERROR(IF($H45="No DD",0,IF(OR(ISBLANK(M45),M45="N/A"),0,INDEX(INDIRECT(AY46),MATCH(M45,INDIRECT(AY45),0)))),0)</f>
        <v>0</v>
      </c>
      <c r="N46" s="210">
        <f t="shared" ref="N46" ca="1" si="1564">IFERROR(IF($H45="No DD",0,IF(OR(ISBLANK(N45),N45="N/A"),0,INDEX(INDIRECT(AZ46),MATCH(N45,INDIRECT(AZ45),0)))),0)</f>
        <v>0</v>
      </c>
      <c r="O46" s="210">
        <f t="shared" ref="O46" ca="1" si="1565">IFERROR(IF($H45="No DD",0,IF(OR(ISBLANK(O45),O45="N/A"),0,INDEX(INDIRECT(BA46),MATCH(O45,INDIRECT(BA45),0)))),0)</f>
        <v>0</v>
      </c>
      <c r="P46" s="210">
        <f t="shared" ref="P46" ca="1" si="1566">IFERROR(IF($H45="No DD",0,IF(OR(ISBLANK(P45),P45="N/A"),0,INDEX(INDIRECT(BB46),MATCH(P45,INDIRECT(BB45),0)))),0)</f>
        <v>0</v>
      </c>
      <c r="Q46" s="210">
        <f t="shared" ref="Q46" ca="1" si="1567">IFERROR(IF($H45="No DD",0,IF(OR(ISBLANK(Q45),Q45="N/A"),0,INDEX(INDIRECT(BC46),MATCH(Q45,INDIRECT(BC45),0)))),0)</f>
        <v>0</v>
      </c>
      <c r="R46" s="210">
        <f t="shared" ref="R46" ca="1" si="1568">IFERROR(IF($H45="No DD",0,IF(OR(ISBLANK(R45),R45="N/A"),0,INDEX(INDIRECT(BD46),MATCH(R45,INDIRECT(BD45),0)))),0)</f>
        <v>0</v>
      </c>
      <c r="S46" s="210">
        <f t="shared" ref="S46" ca="1" si="1569">IFERROR(IF($H45="No DD",0,IF(OR(ISBLANK(S45),S45="N/A"),0,INDEX(INDIRECT(BE46),MATCH(S45,INDIRECT(BE45),0)))),0)</f>
        <v>0</v>
      </c>
      <c r="T46" s="210">
        <f t="shared" ref="T46" ca="1" si="1570">IFERROR(IF($H45="No DD",0,IF(OR(ISBLANK(T45),T45="N/A"),0,INDEX(INDIRECT(BF46),MATCH(T45,INDIRECT(BF45),0)))),0)</f>
        <v>0</v>
      </c>
      <c r="U46" s="210">
        <f t="shared" ref="U46" ca="1" si="1571">IFERROR(IF($H45="No DD",0,IF(OR(ISBLANK(U45),U45="N/A"),0,INDEX(INDIRECT(BG46),MATCH(U45,INDIRECT(BG45),0)))),0)</f>
        <v>0</v>
      </c>
      <c r="V46" s="210">
        <f t="shared" ref="V46" ca="1" si="1572">IFERROR(IF($H45="No DD",0,IF(OR(ISBLANK(V45),V45="N/A"),0,INDEX(INDIRECT(BH46),MATCH(V45,INDIRECT(BH45),0)))),0)</f>
        <v>0</v>
      </c>
      <c r="W46" s="210">
        <f t="shared" ref="W46" ca="1" si="1573">IFERROR(IF($H45="No DD",0,IF(OR(ISBLANK(W45),W45="N/A"),0,INDEX(INDIRECT(BI46),MATCH(W45,INDIRECT(BI45),0)))),0)</f>
        <v>0</v>
      </c>
      <c r="X46" s="210">
        <f t="shared" ref="X46" ca="1" si="1574">IFERROR(IF($H45="No DD",0,IF(OR(ISBLANK(X45),X45="N/A"),0,INDEX(INDIRECT(BJ46),MATCH(X45,INDIRECT(BJ45),0)))),0)</f>
        <v>0</v>
      </c>
      <c r="Y46" s="210">
        <f t="shared" ref="Y46" ca="1" si="1575">IFERROR(IF($H45="No DD",0,IF(OR(ISBLANK(Y45),Y45="N/A"),0,INDEX(INDIRECT(BK46),MATCH(Y45,INDIRECT(BK45),0)))),0)</f>
        <v>0</v>
      </c>
      <c r="Z46" s="210">
        <f t="shared" ref="Z46" ca="1" si="1576">IFERROR(IF($H45="No DD",0,IF(OR(ISBLANK(Z45),Z45="N/A"),0,INDEX(INDIRECT(BL46),MATCH(Z45,INDIRECT(BL45),0)))),0)</f>
        <v>0</v>
      </c>
      <c r="AA46" s="210">
        <f t="shared" ref="AA46" ca="1" si="1577">IFERROR(IF($H45="No DD",0,IF(OR(ISBLANK(AA45),AA45="N/A"),0,INDEX(INDIRECT(BM46),MATCH(AA45,INDIRECT(BM45),0)))),0)</f>
        <v>0</v>
      </c>
      <c r="AB46" s="210">
        <f t="shared" ref="AB46" ca="1" si="1578">IFERROR(IF($H45="No DD",0,IF(OR(ISBLANK(AB45),AB45="N/A"),0,INDEX(INDIRECT(BN46),MATCH(AB45,INDIRECT(BN45),0)))),0)</f>
        <v>0</v>
      </c>
      <c r="AC46" s="210">
        <f t="shared" ref="AC46" ca="1" si="1579">IFERROR(IF($H45="No DD",0,IF(OR(ISBLANK(AC45),AC45="N/A"),0,INDEX(INDIRECT(BO46),MATCH(AC45,INDIRECT(BO45),0)))),0)</f>
        <v>0</v>
      </c>
      <c r="AD46" s="211" t="str">
        <f>IFERROR(IF(E46="H",INDEX(HybridBonus_Value,MATCH(AD45,HybridBonus_Code,0)),""),"")</f>
        <v/>
      </c>
      <c r="AE46" s="209" t="str">
        <f t="shared" ref="AE46" si="1580">IFERROR(IF(J45&lt;&gt;"",SUM(I46:AD46),""),"")</f>
        <v/>
      </c>
      <c r="AF46" s="76"/>
      <c r="AG46" s="76"/>
      <c r="AH46" s="121"/>
      <c r="AI46" s="121"/>
      <c r="AJ46" s="121"/>
      <c r="AK46" s="121"/>
      <c r="AL46" s="121"/>
      <c r="AM46" s="121"/>
      <c r="AN46" s="121"/>
      <c r="AO46" s="121"/>
      <c r="AP46" s="121"/>
      <c r="AQ46" s="121"/>
      <c r="AR46" s="121"/>
      <c r="AS46" s="121"/>
      <c r="AT46" s="110"/>
      <c r="AU46" s="121"/>
      <c r="AV46" s="111" t="str">
        <f t="shared" ref="AV46" si="1581">IF($E46="H","HybridDD_Value",IF($E46=3,"TreDD_Value",IF($E46="PA","AcroPair_Value",IF(LEFT($F45,4)="Acro",CONCATENATE(AV$16,$E46,"_Value"),""))))</f>
        <v/>
      </c>
      <c r="AW46" s="111" t="str">
        <f t="shared" ref="AW46:AX46" si="1582">IF($E46="H","HybridDD_Value",IF($E46=3,"",IF(LEFT($F45,4)="Acro",CONCATENATE(AW$16,$E46,"_Value"),IF($E46="PA","",""))))</f>
        <v/>
      </c>
      <c r="AX46" s="111" t="str">
        <f t="shared" si="1582"/>
        <v/>
      </c>
      <c r="AY46" s="111" t="str">
        <f t="shared" ref="AY46:BD46" si="1583">IF($E46="H","HybridDD_Value",IF($E46=3,"",IF(LEFT($F45,4)="Acro",CONCATENATE(AY$16,$E46,"_Value"),IF($E46="PA","",""))))</f>
        <v/>
      </c>
      <c r="AZ46" s="111" t="str">
        <f t="shared" si="1583"/>
        <v/>
      </c>
      <c r="BA46" s="111" t="str">
        <f t="shared" si="1583"/>
        <v/>
      </c>
      <c r="BB46" s="111" t="str">
        <f t="shared" si="1583"/>
        <v/>
      </c>
      <c r="BC46" s="111" t="str">
        <f t="shared" si="1583"/>
        <v/>
      </c>
      <c r="BD46" s="111" t="str">
        <f t="shared" si="1583"/>
        <v/>
      </c>
      <c r="BE46" s="110" t="str">
        <f t="shared" ref="BE46" si="1584">IF($E46="H","HybridDD_Value","Data!$BI$1:$BI$5")</f>
        <v>Data!$BI$1:$BI$5</v>
      </c>
      <c r="BF46" s="110" t="str">
        <f t="shared" si="1139"/>
        <v>Data!$BI$1:$BI$5</v>
      </c>
      <c r="BG46" s="110" t="str">
        <f t="shared" si="1139"/>
        <v>Data!$BI$1:$BI$5</v>
      </c>
      <c r="BH46" s="110" t="str">
        <f t="shared" si="1139"/>
        <v>Data!$BI$1:$BI$5</v>
      </c>
      <c r="BI46" s="110" t="str">
        <f t="shared" si="1139"/>
        <v>Data!$BI$1:$BI$5</v>
      </c>
      <c r="BJ46" s="110" t="str">
        <f t="shared" si="1139"/>
        <v>Data!$BI$1:$BI$5</v>
      </c>
      <c r="BK46" s="110" t="str">
        <f t="shared" si="1139"/>
        <v>Data!$BI$1:$BI$5</v>
      </c>
      <c r="BL46" s="110" t="str">
        <f t="shared" si="1139"/>
        <v>Data!$BI$1:$BI$5</v>
      </c>
      <c r="BM46" s="110" t="str">
        <f t="shared" si="1139"/>
        <v>Data!$BI$1:$BI$5</v>
      </c>
      <c r="BN46" s="110" t="str">
        <f t="shared" si="1139"/>
        <v>Data!$BI$1:$BI$5</v>
      </c>
      <c r="BO46" s="110" t="str">
        <f t="shared" si="1139"/>
        <v>Data!$BI$1:$BI$5</v>
      </c>
      <c r="BP46" s="121"/>
      <c r="BQ46" s="121"/>
      <c r="BR46" s="122" t="str">
        <f>IFERROR(IF(AND($BS$6="T",$BS$8="T",LEFT(F45,4)="Acro",AE46&gt;3),"X",IF($N$7="X",IF(AND(E46="C",AE46&gt;$CA$6),"X",IF(AND(E46="A",AE46&gt;$CA$4),"X",IF(AND(E46="B",AE46&gt;$CA$5),"X",IF(AND(E46="P",AE46&gt;$CA$7),"X","")))),"")),"")</f>
        <v/>
      </c>
      <c r="BS46" s="114"/>
      <c r="BU46" s="108"/>
      <c r="CA46" s="111"/>
      <c r="CB46" s="111"/>
      <c r="CC46" s="111"/>
      <c r="CG46" s="108" t="str">
        <f t="shared" si="9"/>
        <v/>
      </c>
      <c r="CH46" s="108" t="str">
        <f t="shared" si="10"/>
        <v/>
      </c>
      <c r="CI46" s="108" t="str">
        <f t="shared" si="11"/>
        <v/>
      </c>
      <c r="CJ46" s="108" t="str">
        <f t="shared" si="12"/>
        <v/>
      </c>
      <c r="CR46" s="108">
        <v>28</v>
      </c>
      <c r="DI46" s="108" t="str" cm="1">
        <f t="array" ref="DI46">IFERROR(INDEX(DK46:ED46,MATCH(TRUE,INDEX((DK46:ED46&lt;&gt;""),),0)),"")</f>
        <v/>
      </c>
      <c r="DK46" s="108" t="str">
        <f t="shared" ref="DK46" si="1585">IF(F45="Hybrid - Thrust + 2 connections",IF(COUNTIF($DK45:$ED45,DK45)&gt;1,DK45,""),IF(COUNTIF($DK45:$ED45,DK45)&gt;5,DK45,""))</f>
        <v/>
      </c>
      <c r="DL46" s="108" t="str">
        <f t="shared" ref="DL46" si="1586">IF(G45="Hybrid - Thrust + 2 connections",IF(COUNTIF($DK45:$ED45,DL45)&gt;1,DL45,""),IF(COUNTIF($DK45:$ED45,DL45)&gt;5,DL45,""))</f>
        <v/>
      </c>
      <c r="DM46" s="108" t="str">
        <f t="shared" ref="DM46" si="1587">IF(H45="Hybrid - Thrust + 2 connections",IF(COUNTIF($DK45:$ED45,DM45)&gt;1,DM45,""),IF(COUNTIF($DK45:$ED45,DM45)&gt;5,DM45,""))</f>
        <v/>
      </c>
      <c r="DN46" s="108" t="str">
        <f t="shared" ref="DN46" si="1588">IF(I45="Hybrid - Thrust + 2 connections",IF(COUNTIF($DK45:$ED45,DN45)&gt;1,DN45,""),IF(COUNTIF($DK45:$ED45,DN45)&gt;5,DN45,""))</f>
        <v/>
      </c>
      <c r="DO46" s="108" t="str">
        <f t="shared" ref="DO46" si="1589">IF(J45="Hybrid - Thrust + 2 connections",IF(COUNTIF($DK45:$ED45,DO45)&gt;1,DO45,""),IF(COUNTIF($DK45:$ED45,DO45)&gt;5,DO45,""))</f>
        <v/>
      </c>
      <c r="DP46" s="108" t="str">
        <f t="shared" ref="DP46" si="1590">IF(K45="Hybrid - Thrust + 2 connections",IF(COUNTIF($DK45:$ED45,DP45)&gt;1,DP45,""),IF(COUNTIF($DK45:$ED45,DP45)&gt;5,DP45,""))</f>
        <v/>
      </c>
      <c r="DQ46" s="108" t="str">
        <f t="shared" ref="DQ46" si="1591">IF(L45="Hybrid - Thrust + 2 connections",IF(COUNTIF($DK45:$ED45,DQ45)&gt;1,DQ45,""),IF(COUNTIF($DK45:$ED45,DQ45)&gt;5,DQ45,""))</f>
        <v/>
      </c>
      <c r="DR46" s="108" t="str">
        <f t="shared" ref="DR46" si="1592">IF(M45="Hybrid - Thrust + 2 connections",IF(COUNTIF($DK45:$ED45,DR45)&gt;1,DR45,""),IF(COUNTIF($DK45:$ED45,DR45)&gt;5,DR45,""))</f>
        <v/>
      </c>
      <c r="DS46" s="108" t="str">
        <f t="shared" ref="DS46" si="1593">IF(N45="Hybrid - Thrust + 2 connections",IF(COUNTIF($DK45:$ED45,DS45)&gt;1,DS45,""),IF(COUNTIF($DK45:$ED45,DS45)&gt;5,DS45,""))</f>
        <v/>
      </c>
      <c r="DT46" s="108" t="str">
        <f t="shared" ref="DT46" si="1594">IF(O45="Hybrid - Thrust + 2 connections",IF(COUNTIF($DK45:$ED45,DT45)&gt;1,DT45,""),IF(COUNTIF($DK45:$ED45,DT45)&gt;5,DT45,""))</f>
        <v/>
      </c>
      <c r="DU46" s="108" t="str">
        <f t="shared" ref="DU46" si="1595">IF(P45="Hybrid - Thrust + 2 connections",IF(COUNTIF($DK45:$ED45,DU45)&gt;1,DU45,""),IF(COUNTIF($DK45:$ED45,DU45)&gt;5,DU45,""))</f>
        <v/>
      </c>
      <c r="DV46" s="108" t="str">
        <f t="shared" ref="DV46" si="1596">IF(Q45="Hybrid - Thrust + 2 connections",IF(COUNTIF($DK45:$ED45,DV45)&gt;1,DV45,""),IF(COUNTIF($DK45:$ED45,DV45)&gt;5,DV45,""))</f>
        <v/>
      </c>
      <c r="DW46" s="108" t="str">
        <f t="shared" ref="DW46" si="1597">IF(R45="Hybrid - Thrust + 2 connections",IF(COUNTIF($DK45:$ED45,DW45)&gt;1,DW45,""),IF(COUNTIF($DK45:$ED45,DW45)&gt;5,DW45,""))</f>
        <v/>
      </c>
      <c r="DX46" s="108" t="str">
        <f t="shared" ref="DX46" si="1598">IF(S45="Hybrid - Thrust + 2 connections",IF(COUNTIF($DK45:$ED45,DX45)&gt;1,DX45,""),IF(COUNTIF($DK45:$ED45,DX45)&gt;5,DX45,""))</f>
        <v/>
      </c>
      <c r="DY46" s="108" t="str">
        <f t="shared" ref="DY46" si="1599">IF(T45="Hybrid - Thrust + 2 connections",IF(COUNTIF($DK45:$ED45,DY45)&gt;1,DY45,""),IF(COUNTIF($DK45:$ED45,DY45)&gt;5,DY45,""))</f>
        <v/>
      </c>
      <c r="DZ46" s="108" t="str">
        <f t="shared" ref="DZ46" si="1600">IF(U45="Hybrid - Thrust + 2 connections",IF(COUNTIF($DK45:$ED45,DZ45)&gt;1,DZ45,""),IF(COUNTIF($DK45:$ED45,DZ45)&gt;5,DZ45,""))</f>
        <v/>
      </c>
      <c r="EA46" s="108" t="str">
        <f t="shared" ref="EA46" si="1601">IF(V45="Hybrid - Thrust + 2 connections",IF(COUNTIF($DK45:$ED45,EA45)&gt;1,EA45,""),IF(COUNTIF($DK45:$ED45,EA45)&gt;5,EA45,""))</f>
        <v/>
      </c>
      <c r="EB46" s="108" t="str">
        <f t="shared" ref="EB46" si="1602">IF(W45="Hybrid - Thrust + 2 connections",IF(COUNTIF($DK45:$ED45,EB45)&gt;1,EB45,""),IF(COUNTIF($DK45:$ED45,EB45)&gt;5,EB45,""))</f>
        <v/>
      </c>
      <c r="EC46" s="108" t="str">
        <f t="shared" ref="EC46" si="1603">IF(X45="Hybrid - Thrust + 2 connections",IF(COUNTIF($DK45:$ED45,EC45)&gt;1,EC45,""),IF(COUNTIF($DK45:$ED45,EC45)&gt;5,EC45,""))</f>
        <v/>
      </c>
      <c r="ED46" s="108" t="str">
        <f t="shared" ref="ED46" si="1604">IF(Y45="Hybrid - Thrust + 2 connections",IF(COUNTIF($DK45:$ED45,ED45)&gt;1,ED45,""),IF(COUNTIF($DK45:$ED45,ED45)&gt;5,ED45,""))</f>
        <v/>
      </c>
      <c r="EE46" s="108"/>
      <c r="EF46" s="108" t="str" cm="1">
        <f t="array" ref="EF46">IFERROR(INDEX(EG46:EZ46,MATCH(TRUE,INDEX((EG46:EZ46&lt;&gt;""),),0)),"")</f>
        <v/>
      </c>
      <c r="EG46" s="108" t="str">
        <f t="shared" ref="EG46" si="1605">IF(COUNTIF($EG45:$EZ45,EG45)&gt;3,EG45,"")</f>
        <v/>
      </c>
      <c r="EH46" s="108" t="str">
        <f t="shared" ref="EH46" si="1606">IF(COUNTIF($EG45:$EZ45,EH45)&gt;3,EH45,"")</f>
        <v/>
      </c>
      <c r="EI46" s="108" t="str">
        <f t="shared" ref="EI46" si="1607">IF(COUNTIF($EG45:$EZ45,EI45)&gt;3,EI45,"")</f>
        <v/>
      </c>
      <c r="EJ46" s="108" t="str">
        <f t="shared" ref="EJ46" si="1608">IF(COUNTIF($EG45:$EZ45,EJ45)&gt;3,EJ45,"")</f>
        <v/>
      </c>
      <c r="EK46" s="108" t="str">
        <f t="shared" ref="EK46" si="1609">IF(COUNTIF($EG45:$EZ45,EK45)&gt;3,EK45,"")</f>
        <v/>
      </c>
      <c r="EL46" s="108" t="str">
        <f t="shared" ref="EL46" si="1610">IF(COUNTIF($EG45:$EZ45,EL45)&gt;3,EL45,"")</f>
        <v/>
      </c>
      <c r="EM46" s="108" t="str">
        <f t="shared" ref="EM46" si="1611">IF(COUNTIF($EG45:$EZ45,EM45)&gt;3,EM45,"")</f>
        <v/>
      </c>
      <c r="EN46" s="108" t="str">
        <f t="shared" ref="EN46" si="1612">IF(COUNTIF($EG45:$EZ45,EN45)&gt;3,EN45,"")</f>
        <v/>
      </c>
      <c r="EO46" s="108" t="str">
        <f t="shared" ref="EO46" si="1613">IF(COUNTIF($EG45:$EZ45,EO45)&gt;3,EO45,"")</f>
        <v/>
      </c>
      <c r="EP46" s="108" t="str">
        <f t="shared" ref="EP46" si="1614">IF(COUNTIF($EG45:$EZ45,EP45)&gt;3,EP45,"")</f>
        <v/>
      </c>
      <c r="EQ46" s="108" t="str">
        <f t="shared" ref="EQ46" si="1615">IF(COUNTIF($EG45:$EZ45,EQ45)&gt;3,EQ45,"")</f>
        <v/>
      </c>
      <c r="ER46" s="108" t="str">
        <f t="shared" ref="ER46" si="1616">IF(COUNTIF($EG45:$EZ45,ER45)&gt;3,ER45,"")</f>
        <v/>
      </c>
      <c r="ES46" s="108" t="str">
        <f t="shared" ref="ES46" si="1617">IF(COUNTIF($EG45:$EZ45,ES45)&gt;3,ES45,"")</f>
        <v/>
      </c>
      <c r="ET46" s="108" t="str">
        <f t="shared" ref="ET46" si="1618">IF(COUNTIF($EG45:$EZ45,ET45)&gt;3,ET45,"")</f>
        <v/>
      </c>
      <c r="EU46" s="108" t="str">
        <f t="shared" ref="EU46" si="1619">IF(COUNTIF($EG45:$EZ45,EU45)&gt;3,EU45,"")</f>
        <v/>
      </c>
      <c r="EV46" s="108" t="str">
        <f t="shared" ref="EV46" si="1620">IF(COUNTIF($EG45:$EZ45,EV45)&gt;3,EV45,"")</f>
        <v/>
      </c>
      <c r="EW46" s="108" t="str">
        <f t="shared" ref="EW46" si="1621">IF(COUNTIF($EG45:$EZ45,EW45)&gt;3,EW45,"")</f>
        <v/>
      </c>
      <c r="EX46" s="108" t="str">
        <f t="shared" ref="EX46" si="1622">IF(COUNTIF($EG45:$EZ45,EX45)&gt;3,EX45,"")</f>
        <v/>
      </c>
      <c r="EY46" s="108" t="str">
        <f t="shared" ref="EY46" si="1623">IF(COUNTIF($EG45:$EZ45,EY45)&gt;3,EY45,"")</f>
        <v/>
      </c>
      <c r="EZ46" s="108" t="str">
        <f t="shared" ref="EZ46" si="1624">IF(COUNTIF($EG45:$EZ45,EZ45)&gt;3,EZ45,"")</f>
        <v/>
      </c>
      <c r="FA46" s="108"/>
      <c r="FB46" s="108"/>
      <c r="FC46" s="108"/>
      <c r="FD46" s="108"/>
      <c r="FE46" s="108"/>
      <c r="FF46" s="108"/>
      <c r="FG46" s="108"/>
      <c r="FH46" s="108"/>
      <c r="FI46" s="108" t="str">
        <f t="shared" ref="FI46" si="1625">IF($F45="Hybrid - Thrust + 2 connections",COUNTBLANK(J45:L45),"")</f>
        <v/>
      </c>
      <c r="FJ46" s="108"/>
      <c r="FN46" s="111"/>
    </row>
    <row r="47" spans="1:170" x14ac:dyDescent="0.3">
      <c r="A47" s="40" t="str">
        <f>IF(AND(E45="",A45&lt;&gt;""),IF(BS45=$BS$18,"",IF(C45&lt;&gt;"",IF(D45=59,MINUTE(BS45)+1,MINUTE(BS45)),"")),"")</f>
        <v/>
      </c>
      <c r="B47" s="41" t="str">
        <f>IF(AND(E45="",B45&lt;&gt;""),IF(BS45=$BS$18,"",IF(C45&lt;&gt;"",IF(D45=59,0,SECOND(BS45)+1),"")),"")</f>
        <v/>
      </c>
      <c r="C47" s="51"/>
      <c r="D47" s="51"/>
      <c r="E47" s="9"/>
      <c r="F47" s="52"/>
      <c r="G47" s="43" t="str">
        <f>IF(F47&lt;&gt;"",IF(OR(F47="Transition",F47="Transition - Surface Connection"),0,MAX($G$19:G46)+1),"")</f>
        <v/>
      </c>
      <c r="H47" s="57" t="str">
        <f t="shared" ref="H47" si="1626">IFERROR(IF(E48="3","",IF(OR(F47="Hybrid - min 4 swimmers (no DD)",LEFT(F47,5)="Trans"),"No DD",CONCATENATE("BM = ",I48))),"")</f>
        <v/>
      </c>
      <c r="I47" s="58"/>
      <c r="J47" s="130"/>
      <c r="K47" s="137"/>
      <c r="L47" s="137"/>
      <c r="M47" s="137"/>
      <c r="N47" s="137"/>
      <c r="O47" s="137"/>
      <c r="P47" s="137"/>
      <c r="Q47" s="137"/>
      <c r="R47" s="137"/>
      <c r="S47" s="137"/>
      <c r="T47" s="137"/>
      <c r="U47" s="137"/>
      <c r="V47" s="137"/>
      <c r="W47" s="137"/>
      <c r="X47" s="137"/>
      <c r="Y47" s="137"/>
      <c r="Z47" s="137"/>
      <c r="AA47" s="137"/>
      <c r="AB47" s="137"/>
      <c r="AC47" s="137"/>
      <c r="AD47" s="191"/>
      <c r="AE47" s="44"/>
      <c r="AF47" s="75"/>
      <c r="AG47" s="75"/>
      <c r="AH47" s="110"/>
      <c r="AI47" s="110"/>
      <c r="AJ47" s="110"/>
      <c r="AK47" s="110"/>
      <c r="AL47" s="110"/>
      <c r="AM47" s="110"/>
      <c r="AN47" s="110"/>
      <c r="AO47" s="110"/>
      <c r="AP47" s="110"/>
      <c r="AQ47" s="110"/>
      <c r="AR47" s="110"/>
      <c r="AS47" s="110"/>
      <c r="AT47" s="110" t="str">
        <f>IFERROR(IF(F47&lt;&gt;"",INDEX(Parts_Active,MATCH(F47,Parts_Active,0)),""),"No")</f>
        <v/>
      </c>
      <c r="AU47" s="110"/>
      <c r="AV47" s="110" t="str">
        <f t="shared" ref="AV47" si="1627">IF($E48="H",IF($F47="Hybrid - Thrust + 2 connections","Hybrid_Mix_Req","HybridDD_Code"),IF($E48=3,"TreDD_Code",IF($E48="PA","AcroPair_Code",IF(LEFT($F47,4)="Acro",CONCATENATE(AV$16,$E48,"_Code"),"Data!$BI$1:$BI$5"))))</f>
        <v>Data!$BI$1:$BI$5</v>
      </c>
      <c r="AW47" s="110" t="str">
        <f t="shared" ref="AW47" si="1628">IF($E48="H",IF($F47="Hybrid - Thrust + 2 connections","Hybrid_Mix_Req","HybridDD_Code"),IF($E48=3,"TreDD_Code",IF($E48="PA","AcroPair_Code",IF(LEFT($F47,4)="Acro",CONCATENATE(AW$16,$E48,"_Code"),"Data!$BI$1:$BI$5"))))</f>
        <v>Data!$BI$1:$BI$5</v>
      </c>
      <c r="AX47" s="110" t="str">
        <f t="shared" ref="AX47" si="1629">IF($E48="H",IF($F47="Hybrid - Thrust + 2 connections","Hybrid_Mix_Req","HybridDD_Code"),IF($E48=3,"TreDD_Code",IF($E48="PA","AcroPair_Code",IF(LEFT($F47,4)="Acro",CONCATENATE(AX$16,$E48,"_Code"),"Data!$BI$1:$BI$5"))))</f>
        <v>Data!$BI$1:$BI$5</v>
      </c>
      <c r="AY47" s="110" t="str">
        <f t="shared" ref="AY47" si="1630">IF($E48="H",IF($F47="Hybrid - Thrust + 2 connections","Data!$BI$1:$BI$5","HybridDD_Code"),IF($E48=3,"Data!$BI$1:$BI$5",IF(LEFT($F47,4)="Acro",CONCATENATE(AY$16,$E48,"_Code"),IF($E48="PA","","Data!$BI$1:$BI$5"))))</f>
        <v>Data!$BI$1:$BI$5</v>
      </c>
      <c r="AZ47" s="110" t="str">
        <f t="shared" ref="AZ47" si="1631">IF($E48="H",IF($F47="Hybrid - Thrust + 2 connections","Data!$BI$1:$BI$5","HybridDD_Code"),IF($E48=3,"Data!$BI$1:$BI$5",IF(LEFT($F47,4)="Acro",CONCATENATE(AZ$16,$E48,"_Code"),IF($E48="PA","","Data!$BI$1:$BI$5"))))</f>
        <v>Data!$BI$1:$BI$5</v>
      </c>
      <c r="BA47" s="110" t="str">
        <f t="shared" ref="BA47" si="1632">IF($E48="H",IF($F47="Hybrid - Thrust + 2 connections","Data!$BI$1:$BI$5","HybridDD_Code"),IF($E48=3,"Data!$BI$1:$BI$5",IF(LEFT($F47,4)="Acro",CONCATENATE(BA$16,$E48,"_Code"),IF($E48="PA","","Data!$BI$1:$BI$5"))))</f>
        <v>Data!$BI$1:$BI$5</v>
      </c>
      <c r="BB47" s="110" t="str">
        <f t="shared" ref="BB47" si="1633">IF($E48="H",IF($F47="Hybrid - Thrust + 2 connections","Data!$BI$1:$BI$5","HybridDD_Code"),IF($E48=3,"Data!$BI$1:$BI$5",IF(LEFT($F47,4)="Acro",CONCATENATE(BB$16,$E48,"_Code"),IF($E48="PA","","Data!$BI$1:$BI$5"))))</f>
        <v>Data!$BI$1:$BI$5</v>
      </c>
      <c r="BC47" s="110" t="str">
        <f t="shared" ref="BC47" si="1634">IF($E48="H",IF($F47="Hybrid - Thrust + 2 connections","Data!$BI$1:$BI$5","HybridDD_Code"),IF($E48=3,"Data!$BI$1:$BI$5",IF(LEFT($F47,4)="Acro",CONCATENATE(BC$16,$E48,"_Code"),IF($E48="PA","","Data!$BI$1:$BI$5"))))</f>
        <v>Data!$BI$1:$BI$5</v>
      </c>
      <c r="BD47" s="110" t="str">
        <f t="shared" ref="BD47" si="1635">IF($E48="H",IF($F47="Hybrid - Thrust + 2 connections","Data!$BI$1:$BI$5","HybridDD_Code"),IF($E48=3,"Data!$BI$1:$BI$5",IF(LEFT($F47,4)="Acro",CONCATENATE(BD$16,$E48,"_Code"),IF($E48="PA","","Data!$BI$1:$BI$5"))))</f>
        <v>Data!$BI$1:$BI$5</v>
      </c>
      <c r="BE47" s="110" t="str">
        <f t="shared" ref="BE47" si="1636">IF($E48="H",IF($F47="Hybrid - Thrust + 2 connections","Data!$BI$1:$BI$5","HybridDD_Code"),"Data!$BI$1:$BI$5")</f>
        <v>Data!$BI$1:$BI$5</v>
      </c>
      <c r="BF47" s="110" t="str">
        <f t="shared" si="1139"/>
        <v>Data!$BI$1:$BI$5</v>
      </c>
      <c r="BG47" s="110" t="str">
        <f t="shared" si="1139"/>
        <v>Data!$BI$1:$BI$5</v>
      </c>
      <c r="BH47" s="110" t="str">
        <f t="shared" si="1139"/>
        <v>Data!$BI$1:$BI$5</v>
      </c>
      <c r="BI47" s="110" t="str">
        <f t="shared" si="1139"/>
        <v>Data!$BI$1:$BI$5</v>
      </c>
      <c r="BJ47" s="110" t="str">
        <f t="shared" si="1139"/>
        <v>Data!$BI$1:$BI$5</v>
      </c>
      <c r="BK47" s="110" t="str">
        <f t="shared" si="1139"/>
        <v>Data!$BI$1:$BI$5</v>
      </c>
      <c r="BL47" s="110" t="str">
        <f t="shared" si="1139"/>
        <v>Data!$BI$1:$BI$5</v>
      </c>
      <c r="BM47" s="110" t="str">
        <f t="shared" si="1139"/>
        <v>Data!$BI$1:$BI$5</v>
      </c>
      <c r="BN47" s="110" t="str">
        <f t="shared" si="1139"/>
        <v>Data!$BI$1:$BI$5</v>
      </c>
      <c r="BO47" s="110" t="str">
        <f t="shared" si="1139"/>
        <v>Data!$BI$1:$BI$5</v>
      </c>
      <c r="BP47" s="110"/>
      <c r="BQ47" s="110"/>
      <c r="BR47" s="113" t="str">
        <f t="shared" ref="BR47" si="1637">IFERROR(TIME(0,A47,B47),"")</f>
        <v/>
      </c>
      <c r="BS47" s="114">
        <f>IFERROR(TIME(0,C47,D47),"")</f>
        <v>0</v>
      </c>
      <c r="BT47" s="114" t="str">
        <f t="shared" ref="BT47" si="1638">IF(BS47&gt;$D$12,"X","")</f>
        <v/>
      </c>
      <c r="BU47" s="108" t="str">
        <f>IF(AND(F47="Hybrid - Thrust + 2 connections",OR(LEFT(J47,1)="T",LEFT(K47,1)="T",LEFT(L47,1)="T",LEFT(NG47,1)="T",LEFT(M47,1)="T",LEFT(N47,1)="T",LEFT(O47,1)="T",LEFT(P47,1)="T",LEFT(Q47,1)="T",LEFT(R47,1)="T",LEFT(S47,1)="T",LEFT(T47,1)="T",LEFT(U47,1)="T",LEFT(V47,1)="T",LEFT(W47,1)="T",LEFT(X47,1)="T",LEFT(AA47,1)="T",LEFT(AB47,1)="T",LEFT(AC47,1)="T")),IF(OR(LEN(J47)=2,LEN(K47)=2,LEN(L47)=2,LEN(M47)=2,LEN(N47)=2,LEN(O47)=2,LEN(P47)=2,LEN(Q47)=2,LEN(R47)=2,LEN(S47)=2,LEN(T47)=2,LEN(U47)=2,LEN(V47)=2,LEN(W47)=2,LEN(X47)=2,LEN(Y47)=2,LEN(Z47)=2,LEN(AA47)=2,LEN(AB47)=2,LEN(AC47)=2),"X",""),"")</f>
        <v/>
      </c>
      <c r="BV47" s="111" t="str">
        <f>IF(F47="Hybrid",SECOND(BS47),"")</f>
        <v/>
      </c>
      <c r="BW47" s="108" t="str">
        <f>IF(LEFT(F47,4)="Acro",IF(AND(N47&lt;&gt;"",M47=RIGHT(N47,2)),"X","OK"),"")</f>
        <v/>
      </c>
      <c r="BX47" s="110" t="str">
        <f t="shared" ref="BX47:CE47" si="1639">IFERROR(IF(AND(LEFT($F47,4)="Acro",INDEX(Requ_App,MATCH(AV47,Requ_Code,0))="No"),"X",""),"")</f>
        <v/>
      </c>
      <c r="BY47" s="110" t="str">
        <f t="shared" si="1639"/>
        <v/>
      </c>
      <c r="BZ47" s="110" t="str">
        <f t="shared" si="1639"/>
        <v/>
      </c>
      <c r="CA47" s="110" t="str">
        <f t="shared" si="1639"/>
        <v/>
      </c>
      <c r="CB47" s="110" t="str">
        <f t="shared" si="1639"/>
        <v/>
      </c>
      <c r="CC47" s="110" t="str">
        <f t="shared" si="1639"/>
        <v/>
      </c>
      <c r="CD47" s="110" t="str">
        <f t="shared" si="1639"/>
        <v/>
      </c>
      <c r="CE47" s="110" t="str">
        <f t="shared" si="1639"/>
        <v/>
      </c>
      <c r="CF47" s="110" t="str">
        <f>IFERROR(IF(AND(LEFT($F47,4)="Acro",INDEX(Requ_App,MATCH(BC47,Requ_Code,0))="No"),"X",""),"")</f>
        <v/>
      </c>
      <c r="CG47" s="108" t="str">
        <f t="shared" si="9"/>
        <v/>
      </c>
      <c r="CH47" s="108" t="str">
        <f t="shared" si="10"/>
        <v/>
      </c>
      <c r="CI47" s="108" t="str">
        <f t="shared" si="11"/>
        <v/>
      </c>
      <c r="CJ47" s="108" t="str">
        <f t="shared" si="12"/>
        <v/>
      </c>
      <c r="CN47" s="108">
        <f t="shared" ref="CN47" si="1640">IF(AND(E48="A",OR(Q47="Grip",Q47="Conn",Q47="Catch")),"A1",IF(AND(E48="A",OR(Q47="Hula",Q47="RetSq",Q47="RetPa")),"A2",IF(AND(E48="B",OR(Q47="Twirl",Q47="RotF")),"B1",IF(AND(E48="B",OR(Q47="Moon",Q47="Mov")),"B2",IF(AND(E48="B",Q47="Hold"),"B3",IF(AND(E48="P",OR(Q47="Porp",Q47="Spitch")),"P1",IF(AND(E48="P",OR(Q47="Dive",Q47="Ps1",Q47="Ps1t0.5",Q47="Ps1op",Q47="Ps1t0,5o",Q47="Ps1t1",Q47="CH+")),"P2",IF(AND(E48="P",OR(Q47="Spider",Q47="Climb")),"P3",IF(AND(E48="P",OR(Q47="Fall",Q47="FTurn")),"P4",IF(AND(E48="C",OR(Q47="Jump",Q47="Jump&gt;",Q47="On1Foot",Q47="1F&gt;1F")),"C1",IF(AND(E48="C",OR(Q47="Run",Q47="BRun")),"C2",1)))))))))))</f>
        <v>1</v>
      </c>
      <c r="CO47" s="108">
        <f t="shared" ref="CO47" si="1641">IF(AND(E48="A",OR(R47="Grip",R47="Conn",R47="Catch")),"A1",IF(AND(E48="A",OR(R47="Hula",R47="RetSq",R47="RetPa")),"A2",IF(AND(E48="B",OR(R47="Twirl",R47="RotF")),"B1",IF(AND(E48="B",OR(R47="Moon",R47="Mov")),"B3",IF(AND(E48="B",R47="Hold"),"B2",IF(AND(E48="P",OR(R47="Porp",R47="Spitch")),"P1",IF(AND(E48="P",OR(R47="Dive",R47="Ps1",R47="Ps1t0.5",R47="Ps1op",R47="Ps1t0,5o",R47="Ps1t1",R47="CH+")),"P2",IF(AND(E48="P",OR(R47="Spider",R47="Climb")),"P3",IF(AND(E48="P",OR(R47="Fall",R47="FTurn")),"P4",IF(AND(E48="C",OR(R47="Jump",R47="Jump&gt;",R47="On1Foot",R47="1F&gt;1F")),"C1",IF(AND(E48="C",OR(R47="Run",R47="BRun")),"C2",2)))))))))))</f>
        <v>2</v>
      </c>
      <c r="CP47" s="108" t="str">
        <f t="shared" ref="CP47" si="1642">IF(AND(LEFT(F47,4)="Acro",Q47&lt;&gt;"",OR(Q47=R47,CN47=CO47)),IF(R47="C-Roll","","X"),IF(OR(AND(E48="A",Q47="Catch",R47&lt;&gt;"Dbl"),AND(E48="A",R47="Catch",Q47&lt;&gt;"Dbl")),"X",""))</f>
        <v/>
      </c>
      <c r="CQ47" s="108" t="str">
        <f t="shared" ref="CQ47" si="1643">IF(E48="PA",J47,"")</f>
        <v/>
      </c>
      <c r="CR47" s="108">
        <v>29</v>
      </c>
      <c r="CT47" s="108" t="str">
        <f t="shared" ref="CT47" si="1644">IF(AND($E48="A",COUNTIF($DC$19:$DD$68,DC47)&gt;1),DC47,"")</f>
        <v/>
      </c>
      <c r="CU47" s="108" t="str">
        <f t="shared" ref="CU47" si="1645">IF(AND($E48="A",COUNTIF($DC$19:$DD$68,DD47)&gt;1),DD47,"")</f>
        <v/>
      </c>
      <c r="CV47" s="108" t="str">
        <f t="shared" ref="CV47" ca="1" si="1646">IF(AND($E48="B",COUNTIF($J$19:$J$68,J47)&gt;1),J47,"")</f>
        <v/>
      </c>
      <c r="CW47" s="108" t="str">
        <f t="shared" ref="CW47" ca="1" si="1647">IF(AND($E48="B",COUNTIF($K$19:$K$68,K47)&gt;1),K47,"")</f>
        <v/>
      </c>
      <c r="CX47" s="108" t="str">
        <f t="shared" ref="CX47" ca="1" si="1648">IF(AND($E48="C",COUNTIF($J$19:$J$68,J47)&gt;1),J47,"")</f>
        <v/>
      </c>
      <c r="CY47" s="108" t="str">
        <f t="shared" ref="CY47" ca="1" si="1649">IF(AND($E48="P",COUNTIF($J$19:$J$68,J47)&gt;1),J47,"")</f>
        <v/>
      </c>
      <c r="CZ47" s="108" t="str">
        <f t="shared" ref="CZ47" ca="1" si="1650">IF(AND($E48="P",COUNTIF($K$19:$K$68,K47)&gt;1),K47,"")</f>
        <v/>
      </c>
      <c r="DA47" s="108" t="str">
        <f t="shared" ref="DA47" si="1651">IF(AND($E48="P",COUNTIF($DC$19:$DD$68,DC47)&gt;1),DC47,"")</f>
        <v/>
      </c>
      <c r="DB47" s="108" t="str">
        <f t="shared" ref="DB47" si="1652">IF(AND($E48="P",COUNTIF($DC$19:$DD$68,DD47)&gt;1),DD47,"")</f>
        <v/>
      </c>
      <c r="DC47" s="108" t="str">
        <f t="shared" ref="DC47" si="1653">IFERROR(IF(OR(E48="A",E48="P"),M47,""),"")</f>
        <v/>
      </c>
      <c r="DD47" s="108" t="str">
        <f t="shared" ref="DD47" si="1654">IFERROR(IF(OR(E48="A",E48="P"),RIGHT(N47,2),""),"")</f>
        <v/>
      </c>
      <c r="DF47" s="108" t="str">
        <f t="shared" ref="DF47" si="1655">IF(AND($F$8="Open Team Acrobatic",LEFT(F47,4)="Acro"),E48,"")</f>
        <v/>
      </c>
      <c r="DG47" s="108" t="str">
        <f t="shared" ref="DG47" si="1656">IFERROR(IF(HLOOKUP(DF47,$DD$12:$DG$13,2,FALSE)&gt;2,"X",""),"")</f>
        <v/>
      </c>
      <c r="DI47" s="108" t="str">
        <f t="shared" ref="DI47" si="1657">IF(OR(AND(F47="Hybrid - Thrust + 2 connections",DI48="T"),AND(F47="Hybrid - Free",DI48&lt;&gt;"")),"X","")</f>
        <v/>
      </c>
      <c r="DK47" s="108">
        <f t="shared" ref="DK47" si="1658">IFERROR(IF(AND($E48="H",J47&lt;&gt;""),IF(OR(LEFT(J47,1)="T",LEFT(J47,1)="S",LEFT(J47,1)="A",LEFT(J47,1)="F",LEFT(J47,1)="C"),LEFT(J47,1),"R"),DK$18),"")</f>
        <v>1</v>
      </c>
      <c r="DL47" s="108">
        <f t="shared" ref="DL47" si="1659">IFERROR(IF(AND($E48="H",K47&lt;&gt;""),IF(OR(LEFT(K47,1)="T",LEFT(K47,1)="S",LEFT(K47,1)="A",LEFT(K47,1)="F",LEFT(K47,1)="C"),LEFT(K47,1),"R"),DL$18),"")</f>
        <v>2</v>
      </c>
      <c r="DM47" s="108">
        <f t="shared" ref="DM47" si="1660">IFERROR(IF(AND($E48="H",L47&lt;&gt;""),IF(OR(LEFT(L47,1)="T",LEFT(L47,1)="S",LEFT(L47,1)="A",LEFT(L47,1)="F",LEFT(L47,1)="C"),LEFT(L47,1),"R"),DM$18),"")</f>
        <v>3</v>
      </c>
      <c r="DN47" s="108">
        <f t="shared" ref="DN47" si="1661">IFERROR(IF(AND($E48="H",M47&lt;&gt;""),IF(OR(LEFT(M47,1)="T",LEFT(M47,1)="S",LEFT(M47,1)="A",LEFT(M47,1)="F",LEFT(M47,1)="C"),LEFT(M47,1),"R"),DN$18),"")</f>
        <v>4</v>
      </c>
      <c r="DO47" s="108">
        <f t="shared" ref="DO47" si="1662">IFERROR(IF(AND($E48="H",N47&lt;&gt;""),IF(OR(LEFT(N47,1)="T",LEFT(N47,1)="S",LEFT(N47,1)="A",LEFT(N47,1)="F",LEFT(N47,1)="C"),LEFT(N47,1),"R"),DO$18),"")</f>
        <v>5</v>
      </c>
      <c r="DP47" s="108">
        <f t="shared" ref="DP47" si="1663">IFERROR(IF(AND($E48="H",O47&lt;&gt;""),IF(OR(LEFT(O47,1)="T",LEFT(O47,1)="S",LEFT(O47,1)="A",LEFT(O47,1)="F",LEFT(O47,1)="C"),LEFT(O47,1),"R"),DP$18),"")</f>
        <v>6</v>
      </c>
      <c r="DQ47" s="108">
        <f t="shared" ref="DQ47" si="1664">IFERROR(IF(AND($E48="H",P47&lt;&gt;""),IF(OR(LEFT(P47,1)="T",LEFT(P47,1)="S",LEFT(P47,1)="A",LEFT(P47,1)="F",LEFT(P47,1)="C"),LEFT(P47,1),"R"),DQ$18),"")</f>
        <v>7</v>
      </c>
      <c r="DR47" s="108">
        <f t="shared" ref="DR47" si="1665">IFERROR(IF(AND($E48="H",Q47&lt;&gt;""),IF(OR(LEFT(Q47,1)="T",LEFT(Q47,1)="S",LEFT(Q47,1)="A",LEFT(Q47,1)="F",LEFT(Q47,1)="C"),LEFT(Q47,1),"R"),DR$18),"")</f>
        <v>8</v>
      </c>
      <c r="DS47" s="108">
        <f t="shared" ref="DS47" si="1666">IFERROR(IF(AND($E48="H",R47&lt;&gt;""),IF(OR(LEFT(R47,1)="T",LEFT(R47,1)="S",LEFT(R47,1)="A",LEFT(R47,1)="F",LEFT(R47,1)="C"),LEFT(R47,1),"R"),DS$18),"")</f>
        <v>9</v>
      </c>
      <c r="DT47" s="108">
        <f t="shared" ref="DT47" si="1667">IFERROR(IF(AND($E48="H",S47&lt;&gt;""),IF(OR(LEFT(S47,1)="T",LEFT(S47,1)="S",LEFT(S47,1)="A",LEFT(S47,1)="F",LEFT(S47,1)="C"),LEFT(S47,1),"R"),DT$18),"")</f>
        <v>10</v>
      </c>
      <c r="DU47" s="108">
        <f t="shared" ref="DU47" si="1668">IFERROR(IF(AND($E48="H",T47&lt;&gt;""),IF(OR(LEFT(T47,1)="T",LEFT(T47,1)="S",LEFT(T47,1)="A",LEFT(T47,1)="F",LEFT(T47,1)="C"),LEFT(T47,1),"R"),DU$18),"")</f>
        <v>11</v>
      </c>
      <c r="DV47" s="108">
        <f t="shared" ref="DV47" si="1669">IFERROR(IF(AND($E48="H",U47&lt;&gt;""),IF(OR(LEFT(U47,1)="T",LEFT(U47,1)="S",LEFT(U47,1)="A",LEFT(U47,1)="F",LEFT(U47,1)="C"),LEFT(U47,1),"R"),DV$18),"")</f>
        <v>12</v>
      </c>
      <c r="DW47" s="108">
        <f t="shared" ref="DW47" si="1670">IFERROR(IF(AND($E48="H",V47&lt;&gt;""),IF(OR(LEFT(V47,1)="T",LEFT(V47,1)="S",LEFT(V47,1)="A",LEFT(V47,1)="F",LEFT(V47,1)="C"),LEFT(V47,1),"R"),DW$18),"")</f>
        <v>13</v>
      </c>
      <c r="DX47" s="108">
        <f t="shared" ref="DX47" si="1671">IFERROR(IF(AND($E48="H",W47&lt;&gt;""),IF(OR(LEFT(W47,1)="T",LEFT(W47,1)="S",LEFT(W47,1)="A",LEFT(W47,1)="F",LEFT(W47,1)="C"),LEFT(W47,1),"R"),DX$18),"")</f>
        <v>14</v>
      </c>
      <c r="DY47" s="108">
        <f t="shared" ref="DY47" si="1672">IFERROR(IF(AND($E48="H",X47&lt;&gt;""),IF(OR(LEFT(X47,1)="T",LEFT(X47,1)="S",LEFT(X47,1)="A",LEFT(X47,1)="F",LEFT(X47,1)="C"),LEFT(X47,1),"R"),DY$18),"")</f>
        <v>15</v>
      </c>
      <c r="DZ47" s="108">
        <f t="shared" ref="DZ47" si="1673">IFERROR(IF(AND($E48="H",Y47&lt;&gt;""),IF(OR(LEFT(Y47,1)="T",LEFT(Y47,1)="S",LEFT(Y47,1)="A",LEFT(Y47,1)="F",LEFT(Y47,1)="C"),LEFT(Y47,1),"R"),DZ$18),"")</f>
        <v>16</v>
      </c>
      <c r="EA47" s="108">
        <f t="shared" ref="EA47" si="1674">IFERROR(IF(AND($E48="H",Z47&lt;&gt;""),IF(OR(LEFT(Z47,1)="T",LEFT(Z47,1)="S",LEFT(Z47,1)="A",LEFT(Z47,1)="F",LEFT(Z47,1)="C"),LEFT(Z47,1),"R"),EA$18),"")</f>
        <v>17</v>
      </c>
      <c r="EB47" s="108">
        <f t="shared" ref="EB47" si="1675">IFERROR(IF(AND($E48="H",AA47&lt;&gt;""),IF(OR(LEFT(AA47,1)="T",LEFT(AA47,1)="S",LEFT(AA47,1)="A",LEFT(AA47,1)="F",LEFT(AA47,1)="C"),LEFT(AA47,1),"R"),EB$18),"")</f>
        <v>18</v>
      </c>
      <c r="EC47" s="108">
        <f t="shared" ref="EC47" si="1676">IFERROR(IF(AND($E48="H",AB47&lt;&gt;""),IF(OR(LEFT(AB47,1)="T",LEFT(AB47,1)="S",LEFT(AB47,1)="A",LEFT(AB47,1)="F",LEFT(AB47,1)="C"),LEFT(AB47,1),"R"),EC$18),"")</f>
        <v>19</v>
      </c>
      <c r="ED47" s="108">
        <f t="shared" ref="ED47" si="1677">IFERROR(IF(AND($E48="H",AC47&lt;&gt;""),IF(OR(LEFT(AC47,1)="T",LEFT(AC47,1)="S",LEFT(AC47,1)="A",LEFT(AC47,1)="F",LEFT(AC47,1)="C"),LEFT(AC47,1),"R"),ED$18),"")</f>
        <v>20</v>
      </c>
      <c r="EE47" s="108"/>
      <c r="EF47" s="108"/>
      <c r="EG47" s="108">
        <f t="shared" ref="EG47:EZ47" si="1678">IFERROR(IF(J47&lt;&gt;"",UPPER(J47),EG$18),EG$18)</f>
        <v>1</v>
      </c>
      <c r="EH47" s="108">
        <f t="shared" si="1678"/>
        <v>2</v>
      </c>
      <c r="EI47" s="108">
        <f t="shared" si="1678"/>
        <v>3</v>
      </c>
      <c r="EJ47" s="108">
        <f t="shared" si="1678"/>
        <v>4</v>
      </c>
      <c r="EK47" s="108">
        <f t="shared" si="1678"/>
        <v>5</v>
      </c>
      <c r="EL47" s="108">
        <f t="shared" si="1678"/>
        <v>6</v>
      </c>
      <c r="EM47" s="108">
        <f t="shared" si="1678"/>
        <v>7</v>
      </c>
      <c r="EN47" s="108">
        <f t="shared" si="1678"/>
        <v>8</v>
      </c>
      <c r="EO47" s="108">
        <f t="shared" si="1678"/>
        <v>9</v>
      </c>
      <c r="EP47" s="108">
        <f t="shared" si="1678"/>
        <v>10</v>
      </c>
      <c r="EQ47" s="108">
        <f t="shared" si="1678"/>
        <v>11</v>
      </c>
      <c r="ER47" s="108">
        <f t="shared" si="1678"/>
        <v>12</v>
      </c>
      <c r="ES47" s="108">
        <f t="shared" si="1678"/>
        <v>13</v>
      </c>
      <c r="ET47" s="108">
        <f t="shared" si="1678"/>
        <v>14</v>
      </c>
      <c r="EU47" s="108">
        <f t="shared" si="1678"/>
        <v>15</v>
      </c>
      <c r="EV47" s="108">
        <f t="shared" si="1678"/>
        <v>16</v>
      </c>
      <c r="EW47" s="108">
        <f t="shared" si="1678"/>
        <v>17</v>
      </c>
      <c r="EX47" s="108">
        <f t="shared" si="1678"/>
        <v>18</v>
      </c>
      <c r="EY47" s="108">
        <f t="shared" si="1678"/>
        <v>19</v>
      </c>
      <c r="EZ47" s="108">
        <f t="shared" si="1678"/>
        <v>20</v>
      </c>
      <c r="FA47" s="108"/>
      <c r="FB47" s="108">
        <f t="shared" ref="FB47" si="1679">COUNTIF($DK47:$ED47,FB$18)</f>
        <v>0</v>
      </c>
      <c r="FC47" s="108">
        <f t="shared" si="934"/>
        <v>0</v>
      </c>
      <c r="FD47" s="108">
        <f t="shared" si="934"/>
        <v>0</v>
      </c>
      <c r="FE47" s="108">
        <f t="shared" si="934"/>
        <v>0</v>
      </c>
      <c r="FF47" s="108">
        <f t="shared" si="934"/>
        <v>0</v>
      </c>
      <c r="FG47" s="108">
        <f t="shared" si="934"/>
        <v>0</v>
      </c>
      <c r="FH47" s="108"/>
      <c r="FI47" s="108" t="str">
        <f t="shared" ref="FI47" si="1680">IF(AND($F47="Hybrid - Thrust + 2 connections",FI48=0,LEFT($J47,1)="C",LEFT($K47,1)="C",LEFT($L47,1)="C"),"X","")</f>
        <v/>
      </c>
      <c r="FJ47" s="108"/>
      <c r="FL47" s="120" t="e">
        <f>IF(OR(LEFT(#REF!,2)="PL",LEFT(#REF!,2)="PL",LEFT(#REF!,2)="PL",LEFT(#REF!,2)="PL",LEFT(#REF!,2)="PL"),IF($BS$17-BR47&gt;$FL$17,"X",""),"")</f>
        <v>#REF!</v>
      </c>
      <c r="FM47" s="120"/>
      <c r="FN47" s="111" t="str">
        <f>IF(E48=3,_xlfn.NUMBERVALUE(LEFT(J47,1)),"")</f>
        <v/>
      </c>
    </row>
    <row r="48" spans="1:170" x14ac:dyDescent="0.3">
      <c r="A48" s="40"/>
      <c r="B48" s="41"/>
      <c r="C48" s="41"/>
      <c r="D48" s="41"/>
      <c r="E48" s="21" t="str">
        <f t="shared" ref="E48" si="1681">IF(F47="Acrobatic - Pair","PA",IF(F47="Acrobatic Airborn","A",IF(F47="Acrobatic Balance","B",IF(F47="Acrobatic Combined","C",IF(F47="Acrobatic Platform","P",IF(F47="Technical Required Element",3,IF(LEFT(F47,4)="Hybr","H","")))))))</f>
        <v/>
      </c>
      <c r="F48" s="21" t="str">
        <f t="shared" ref="F48" si="1682">IF(AND(F47="Hybrid - Thrust + 2 connections",BU47="X"),"Hybrid - Thrust",IF(OR(E48="A",E48="B",E48="C",E48="P"),"Acrobatic",""))</f>
        <v/>
      </c>
      <c r="G48" s="43"/>
      <c r="H48" s="222" t="str">
        <f t="shared" ref="H48" si="1683">IF(E48="PA",IF(OR(LEFT(J47,1)="L",LEFT(J47,1)="S"),"A-Pair-Lift",IF(OR(LEFT(J47,1)="W",LEFT(J47,1)="T"),"A-Pair-Throw",IF(LEFT(J47,1)="J","A-Pair-Jump","A-Pair"))),IF(OR(E48="A",E48="B",E48="C",E48="P"),CONCATENATE("Acro-",E48),""))</f>
        <v/>
      </c>
      <c r="I48" s="216" t="e">
        <f t="shared" ref="I48" si="1684">IF(OR(F47="Hybrid - min 4 swimmers (no DD)",LEFT(F47,5)="Trans"),0,INDEX($BV$3:$BV$9,MATCH(E48,$BU$3:$BU$9,0)))</f>
        <v>#N/A</v>
      </c>
      <c r="J48" s="210">
        <f t="shared" ref="J48" ca="1" si="1685">IFERROR(IF($H47="No DD",0,IF(OR(ISBLANK(J47),J47="N/A"),0,INDEX(INDIRECT(AV48),MATCH(J47,INDIRECT(AV47),0)))),0)</f>
        <v>0</v>
      </c>
      <c r="K48" s="210">
        <f t="shared" ref="K48" ca="1" si="1686">IFERROR(IF($H47="No DD",0,IF(OR(ISBLANK(K47),K47="N/A"),0,INDEX(INDIRECT(AW48),MATCH(K47,INDIRECT(AW47),0)))),0)</f>
        <v>0</v>
      </c>
      <c r="L48" s="210">
        <f t="shared" ref="L48" ca="1" si="1687">IFERROR(IF($H47="No DD",0,IF(OR(ISBLANK(L47),L47="N/A"),0,INDEX(INDIRECT(AX48),MATCH(L47,INDIRECT(AX47),0)))),0)</f>
        <v>0</v>
      </c>
      <c r="M48" s="210">
        <f t="shared" ref="M48" ca="1" si="1688">IFERROR(IF($H47="No DD",0,IF(OR(ISBLANK(M47),M47="N/A"),0,INDEX(INDIRECT(AY48),MATCH(M47,INDIRECT(AY47),0)))),0)</f>
        <v>0</v>
      </c>
      <c r="N48" s="210">
        <f t="shared" ref="N48" ca="1" si="1689">IFERROR(IF($H47="No DD",0,IF(OR(ISBLANK(N47),N47="N/A"),0,INDEX(INDIRECT(AZ48),MATCH(N47,INDIRECT(AZ47),0)))),0)</f>
        <v>0</v>
      </c>
      <c r="O48" s="210">
        <f t="shared" ref="O48" ca="1" si="1690">IFERROR(IF($H47="No DD",0,IF(OR(ISBLANK(O47),O47="N/A"),0,INDEX(INDIRECT(BA48),MATCH(O47,INDIRECT(BA47),0)))),0)</f>
        <v>0</v>
      </c>
      <c r="P48" s="210">
        <f t="shared" ref="P48" ca="1" si="1691">IFERROR(IF($H47="No DD",0,IF(OR(ISBLANK(P47),P47="N/A"),0,INDEX(INDIRECT(BB48),MATCH(P47,INDIRECT(BB47),0)))),0)</f>
        <v>0</v>
      </c>
      <c r="Q48" s="210">
        <f t="shared" ref="Q48" ca="1" si="1692">IFERROR(IF($H47="No DD",0,IF(OR(ISBLANK(Q47),Q47="N/A"),0,INDEX(INDIRECT(BC48),MATCH(Q47,INDIRECT(BC47),0)))),0)</f>
        <v>0</v>
      </c>
      <c r="R48" s="210">
        <f t="shared" ref="R48" ca="1" si="1693">IFERROR(IF($H47="No DD",0,IF(OR(ISBLANK(R47),R47="N/A"),0,INDEX(INDIRECT(BD48),MATCH(R47,INDIRECT(BD47),0)))),0)</f>
        <v>0</v>
      </c>
      <c r="S48" s="210">
        <f t="shared" ref="S48" ca="1" si="1694">IFERROR(IF($H47="No DD",0,IF(OR(ISBLANK(S47),S47="N/A"),0,INDEX(INDIRECT(BE48),MATCH(S47,INDIRECT(BE47),0)))),0)</f>
        <v>0</v>
      </c>
      <c r="T48" s="210">
        <f t="shared" ref="T48" ca="1" si="1695">IFERROR(IF($H47="No DD",0,IF(OR(ISBLANK(T47),T47="N/A"),0,INDEX(INDIRECT(BF48),MATCH(T47,INDIRECT(BF47),0)))),0)</f>
        <v>0</v>
      </c>
      <c r="U48" s="210">
        <f t="shared" ref="U48" ca="1" si="1696">IFERROR(IF($H47="No DD",0,IF(OR(ISBLANK(U47),U47="N/A"),0,INDEX(INDIRECT(BG48),MATCH(U47,INDIRECT(BG47),0)))),0)</f>
        <v>0</v>
      </c>
      <c r="V48" s="210">
        <f t="shared" ref="V48" ca="1" si="1697">IFERROR(IF($H47="No DD",0,IF(OR(ISBLANK(V47),V47="N/A"),0,INDEX(INDIRECT(BH48),MATCH(V47,INDIRECT(BH47),0)))),0)</f>
        <v>0</v>
      </c>
      <c r="W48" s="210">
        <f t="shared" ref="W48" ca="1" si="1698">IFERROR(IF($H47="No DD",0,IF(OR(ISBLANK(W47),W47="N/A"),0,INDEX(INDIRECT(BI48),MATCH(W47,INDIRECT(BI47),0)))),0)</f>
        <v>0</v>
      </c>
      <c r="X48" s="210">
        <f t="shared" ref="X48" ca="1" si="1699">IFERROR(IF($H47="No DD",0,IF(OR(ISBLANK(X47),X47="N/A"),0,INDEX(INDIRECT(BJ48),MATCH(X47,INDIRECT(BJ47),0)))),0)</f>
        <v>0</v>
      </c>
      <c r="Y48" s="210">
        <f t="shared" ref="Y48" ca="1" si="1700">IFERROR(IF($H47="No DD",0,IF(OR(ISBLANK(Y47),Y47="N/A"),0,INDEX(INDIRECT(BK48),MATCH(Y47,INDIRECT(BK47),0)))),0)</f>
        <v>0</v>
      </c>
      <c r="Z48" s="210">
        <f t="shared" ref="Z48" ca="1" si="1701">IFERROR(IF($H47="No DD",0,IF(OR(ISBLANK(Z47),Z47="N/A"),0,INDEX(INDIRECT(BL48),MATCH(Z47,INDIRECT(BL47),0)))),0)</f>
        <v>0</v>
      </c>
      <c r="AA48" s="210">
        <f t="shared" ref="AA48" ca="1" si="1702">IFERROR(IF($H47="No DD",0,IF(OR(ISBLANK(AA47),AA47="N/A"),0,INDEX(INDIRECT(BM48),MATCH(AA47,INDIRECT(BM47),0)))),0)</f>
        <v>0</v>
      </c>
      <c r="AB48" s="210">
        <f t="shared" ref="AB48" ca="1" si="1703">IFERROR(IF($H47="No DD",0,IF(OR(ISBLANK(AB47),AB47="N/A"),0,INDEX(INDIRECT(BN48),MATCH(AB47,INDIRECT(BN47),0)))),0)</f>
        <v>0</v>
      </c>
      <c r="AC48" s="210">
        <f t="shared" ref="AC48" ca="1" si="1704">IFERROR(IF($H47="No DD",0,IF(OR(ISBLANK(AC47),AC47="N/A"),0,INDEX(INDIRECT(BO48),MATCH(AC47,INDIRECT(BO47),0)))),0)</f>
        <v>0</v>
      </c>
      <c r="AD48" s="211" t="str">
        <f>IFERROR(IF(E48="H",INDEX(HybridBonus_Value,MATCH(AD47,HybridBonus_Code,0)),""),"")</f>
        <v/>
      </c>
      <c r="AE48" s="209" t="str">
        <f t="shared" ref="AE48" si="1705">IFERROR(IF(J47&lt;&gt;"",SUM(I48:AD48),""),"")</f>
        <v/>
      </c>
      <c r="AF48" s="76"/>
      <c r="AG48" s="76"/>
      <c r="AH48" s="121"/>
      <c r="AI48" s="121"/>
      <c r="AJ48" s="121"/>
      <c r="AK48" s="121"/>
      <c r="AL48" s="121"/>
      <c r="AM48" s="121"/>
      <c r="AN48" s="121"/>
      <c r="AO48" s="121"/>
      <c r="AP48" s="121"/>
      <c r="AQ48" s="121"/>
      <c r="AR48" s="121"/>
      <c r="AS48" s="121"/>
      <c r="AT48" s="110"/>
      <c r="AU48" s="121"/>
      <c r="AV48" s="111" t="str">
        <f t="shared" ref="AV48" si="1706">IF($E48="H","HybridDD_Value",IF($E48=3,"TreDD_Value",IF($E48="PA","AcroPair_Value",IF(LEFT($F47,4)="Acro",CONCATENATE(AV$16,$E48,"_Value"),""))))</f>
        <v/>
      </c>
      <c r="AW48" s="111" t="str">
        <f t="shared" ref="AW48:AX48" si="1707">IF($E48="H","HybridDD_Value",IF($E48=3,"",IF(LEFT($F47,4)="Acro",CONCATENATE(AW$16,$E48,"_Value"),IF($E48="PA","",""))))</f>
        <v/>
      </c>
      <c r="AX48" s="111" t="str">
        <f t="shared" si="1707"/>
        <v/>
      </c>
      <c r="AY48" s="111" t="str">
        <f t="shared" ref="AY48:BD48" si="1708">IF($E48="H","HybridDD_Value",IF($E48=3,"",IF(LEFT($F47,4)="Acro",CONCATENATE(AY$16,$E48,"_Value"),IF($E48="PA","",""))))</f>
        <v/>
      </c>
      <c r="AZ48" s="111" t="str">
        <f t="shared" si="1708"/>
        <v/>
      </c>
      <c r="BA48" s="111" t="str">
        <f t="shared" si="1708"/>
        <v/>
      </c>
      <c r="BB48" s="111" t="str">
        <f t="shared" si="1708"/>
        <v/>
      </c>
      <c r="BC48" s="111" t="str">
        <f t="shared" si="1708"/>
        <v/>
      </c>
      <c r="BD48" s="111" t="str">
        <f t="shared" si="1708"/>
        <v/>
      </c>
      <c r="BE48" s="110" t="str">
        <f t="shared" ref="BE48" si="1709">IF($E48="H","HybridDD_Value","Data!$BI$1:$BI$5")</f>
        <v>Data!$BI$1:$BI$5</v>
      </c>
      <c r="BF48" s="110" t="str">
        <f t="shared" si="1139"/>
        <v>Data!$BI$1:$BI$5</v>
      </c>
      <c r="BG48" s="110" t="str">
        <f t="shared" si="1139"/>
        <v>Data!$BI$1:$BI$5</v>
      </c>
      <c r="BH48" s="110" t="str">
        <f t="shared" si="1139"/>
        <v>Data!$BI$1:$BI$5</v>
      </c>
      <c r="BI48" s="110" t="str">
        <f t="shared" si="1139"/>
        <v>Data!$BI$1:$BI$5</v>
      </c>
      <c r="BJ48" s="110" t="str">
        <f t="shared" si="1139"/>
        <v>Data!$BI$1:$BI$5</v>
      </c>
      <c r="BK48" s="110" t="str">
        <f t="shared" si="1139"/>
        <v>Data!$BI$1:$BI$5</v>
      </c>
      <c r="BL48" s="110" t="str">
        <f t="shared" si="1139"/>
        <v>Data!$BI$1:$BI$5</v>
      </c>
      <c r="BM48" s="110" t="str">
        <f t="shared" si="1139"/>
        <v>Data!$BI$1:$BI$5</v>
      </c>
      <c r="BN48" s="110" t="str">
        <f t="shared" si="1139"/>
        <v>Data!$BI$1:$BI$5</v>
      </c>
      <c r="BO48" s="110" t="str">
        <f t="shared" si="1139"/>
        <v>Data!$BI$1:$BI$5</v>
      </c>
      <c r="BP48" s="121"/>
      <c r="BQ48" s="121"/>
      <c r="BR48" s="122" t="str">
        <f>IFERROR(IF(AND($BS$6="T",$BS$8="T",LEFT(F47,4)="Acro",AE48&gt;3),"X",IF($N$7="X",IF(AND(E48="C",AE48&gt;$CA$6),"X",IF(AND(E48="A",AE48&gt;$CA$4),"X",IF(AND(E48="B",AE48&gt;$CA$5),"X",IF(AND(E48="P",AE48&gt;$CA$7),"X","")))),"")),"")</f>
        <v/>
      </c>
      <c r="BS48" s="114"/>
      <c r="BU48" s="108"/>
      <c r="CA48" s="111"/>
      <c r="CB48" s="111"/>
      <c r="CC48" s="111"/>
      <c r="CG48" s="108" t="str">
        <f t="shared" si="9"/>
        <v/>
      </c>
      <c r="CH48" s="108" t="str">
        <f t="shared" si="10"/>
        <v/>
      </c>
      <c r="CI48" s="108" t="str">
        <f t="shared" si="11"/>
        <v/>
      </c>
      <c r="CJ48" s="108" t="str">
        <f t="shared" si="12"/>
        <v/>
      </c>
      <c r="CR48" s="108">
        <v>30</v>
      </c>
      <c r="DI48" s="108" t="str" cm="1">
        <f t="array" ref="DI48">IFERROR(INDEX(DK48:ED48,MATCH(TRUE,INDEX((DK48:ED48&lt;&gt;""),),0)),"")</f>
        <v/>
      </c>
      <c r="DK48" s="108" t="str">
        <f t="shared" ref="DK48" si="1710">IF(F47="Hybrid - Thrust + 2 connections",IF(COUNTIF($DK47:$ED47,DK47)&gt;1,DK47,""),IF(COUNTIF($DK47:$ED47,DK47)&gt;5,DK47,""))</f>
        <v/>
      </c>
      <c r="DL48" s="108" t="str">
        <f t="shared" ref="DL48" si="1711">IF(G47="Hybrid - Thrust + 2 connections",IF(COUNTIF($DK47:$ED47,DL47)&gt;1,DL47,""),IF(COUNTIF($DK47:$ED47,DL47)&gt;5,DL47,""))</f>
        <v/>
      </c>
      <c r="DM48" s="108" t="str">
        <f t="shared" ref="DM48" si="1712">IF(H47="Hybrid - Thrust + 2 connections",IF(COUNTIF($DK47:$ED47,DM47)&gt;1,DM47,""),IF(COUNTIF($DK47:$ED47,DM47)&gt;5,DM47,""))</f>
        <v/>
      </c>
      <c r="DN48" s="108" t="str">
        <f t="shared" ref="DN48" si="1713">IF(I47="Hybrid - Thrust + 2 connections",IF(COUNTIF($DK47:$ED47,DN47)&gt;1,DN47,""),IF(COUNTIF($DK47:$ED47,DN47)&gt;5,DN47,""))</f>
        <v/>
      </c>
      <c r="DO48" s="108" t="str">
        <f t="shared" ref="DO48" si="1714">IF(J47="Hybrid - Thrust + 2 connections",IF(COUNTIF($DK47:$ED47,DO47)&gt;1,DO47,""),IF(COUNTIF($DK47:$ED47,DO47)&gt;5,DO47,""))</f>
        <v/>
      </c>
      <c r="DP48" s="108" t="str">
        <f t="shared" ref="DP48" si="1715">IF(K47="Hybrid - Thrust + 2 connections",IF(COUNTIF($DK47:$ED47,DP47)&gt;1,DP47,""),IF(COUNTIF($DK47:$ED47,DP47)&gt;5,DP47,""))</f>
        <v/>
      </c>
      <c r="DQ48" s="108" t="str">
        <f t="shared" ref="DQ48" si="1716">IF(L47="Hybrid - Thrust + 2 connections",IF(COUNTIF($DK47:$ED47,DQ47)&gt;1,DQ47,""),IF(COUNTIF($DK47:$ED47,DQ47)&gt;5,DQ47,""))</f>
        <v/>
      </c>
      <c r="DR48" s="108" t="str">
        <f t="shared" ref="DR48" si="1717">IF(M47="Hybrid - Thrust + 2 connections",IF(COUNTIF($DK47:$ED47,DR47)&gt;1,DR47,""),IF(COUNTIF($DK47:$ED47,DR47)&gt;5,DR47,""))</f>
        <v/>
      </c>
      <c r="DS48" s="108" t="str">
        <f t="shared" ref="DS48" si="1718">IF(N47="Hybrid - Thrust + 2 connections",IF(COUNTIF($DK47:$ED47,DS47)&gt;1,DS47,""),IF(COUNTIF($DK47:$ED47,DS47)&gt;5,DS47,""))</f>
        <v/>
      </c>
      <c r="DT48" s="108" t="str">
        <f t="shared" ref="DT48" si="1719">IF(O47="Hybrid - Thrust + 2 connections",IF(COUNTIF($DK47:$ED47,DT47)&gt;1,DT47,""),IF(COUNTIF($DK47:$ED47,DT47)&gt;5,DT47,""))</f>
        <v/>
      </c>
      <c r="DU48" s="108" t="str">
        <f t="shared" ref="DU48" si="1720">IF(P47="Hybrid - Thrust + 2 connections",IF(COUNTIF($DK47:$ED47,DU47)&gt;1,DU47,""),IF(COUNTIF($DK47:$ED47,DU47)&gt;5,DU47,""))</f>
        <v/>
      </c>
      <c r="DV48" s="108" t="str">
        <f t="shared" ref="DV48" si="1721">IF(Q47="Hybrid - Thrust + 2 connections",IF(COUNTIF($DK47:$ED47,DV47)&gt;1,DV47,""),IF(COUNTIF($DK47:$ED47,DV47)&gt;5,DV47,""))</f>
        <v/>
      </c>
      <c r="DW48" s="108" t="str">
        <f t="shared" ref="DW48" si="1722">IF(R47="Hybrid - Thrust + 2 connections",IF(COUNTIF($DK47:$ED47,DW47)&gt;1,DW47,""),IF(COUNTIF($DK47:$ED47,DW47)&gt;5,DW47,""))</f>
        <v/>
      </c>
      <c r="DX48" s="108" t="str">
        <f t="shared" ref="DX48" si="1723">IF(S47="Hybrid - Thrust + 2 connections",IF(COUNTIF($DK47:$ED47,DX47)&gt;1,DX47,""),IF(COUNTIF($DK47:$ED47,DX47)&gt;5,DX47,""))</f>
        <v/>
      </c>
      <c r="DY48" s="108" t="str">
        <f t="shared" ref="DY48" si="1724">IF(T47="Hybrid - Thrust + 2 connections",IF(COUNTIF($DK47:$ED47,DY47)&gt;1,DY47,""),IF(COUNTIF($DK47:$ED47,DY47)&gt;5,DY47,""))</f>
        <v/>
      </c>
      <c r="DZ48" s="108" t="str">
        <f t="shared" ref="DZ48" si="1725">IF(U47="Hybrid - Thrust + 2 connections",IF(COUNTIF($DK47:$ED47,DZ47)&gt;1,DZ47,""),IF(COUNTIF($DK47:$ED47,DZ47)&gt;5,DZ47,""))</f>
        <v/>
      </c>
      <c r="EA48" s="108" t="str">
        <f t="shared" ref="EA48" si="1726">IF(V47="Hybrid - Thrust + 2 connections",IF(COUNTIF($DK47:$ED47,EA47)&gt;1,EA47,""),IF(COUNTIF($DK47:$ED47,EA47)&gt;5,EA47,""))</f>
        <v/>
      </c>
      <c r="EB48" s="108" t="str">
        <f t="shared" ref="EB48" si="1727">IF(W47="Hybrid - Thrust + 2 connections",IF(COUNTIF($DK47:$ED47,EB47)&gt;1,EB47,""),IF(COUNTIF($DK47:$ED47,EB47)&gt;5,EB47,""))</f>
        <v/>
      </c>
      <c r="EC48" s="108" t="str">
        <f t="shared" ref="EC48" si="1728">IF(X47="Hybrid - Thrust + 2 connections",IF(COUNTIF($DK47:$ED47,EC47)&gt;1,EC47,""),IF(COUNTIF($DK47:$ED47,EC47)&gt;5,EC47,""))</f>
        <v/>
      </c>
      <c r="ED48" s="108" t="str">
        <f t="shared" ref="ED48" si="1729">IF(Y47="Hybrid - Thrust + 2 connections",IF(COUNTIF($DK47:$ED47,ED47)&gt;1,ED47,""),IF(COUNTIF($DK47:$ED47,ED47)&gt;5,ED47,""))</f>
        <v/>
      </c>
      <c r="EE48" s="108"/>
      <c r="EF48" s="108" t="str" cm="1">
        <f t="array" ref="EF48">IFERROR(INDEX(EG48:EZ48,MATCH(TRUE,INDEX((EG48:EZ48&lt;&gt;""),),0)),"")</f>
        <v/>
      </c>
      <c r="EG48" s="108" t="str">
        <f t="shared" ref="EG48" si="1730">IF(COUNTIF($EG47:$EZ47,EG47)&gt;3,EG47,"")</f>
        <v/>
      </c>
      <c r="EH48" s="108" t="str">
        <f t="shared" ref="EH48" si="1731">IF(COUNTIF($EG47:$EZ47,EH47)&gt;3,EH47,"")</f>
        <v/>
      </c>
      <c r="EI48" s="108" t="str">
        <f t="shared" ref="EI48" si="1732">IF(COUNTIF($EG47:$EZ47,EI47)&gt;3,EI47,"")</f>
        <v/>
      </c>
      <c r="EJ48" s="108" t="str">
        <f t="shared" ref="EJ48" si="1733">IF(COUNTIF($EG47:$EZ47,EJ47)&gt;3,EJ47,"")</f>
        <v/>
      </c>
      <c r="EK48" s="108" t="str">
        <f t="shared" ref="EK48" si="1734">IF(COUNTIF($EG47:$EZ47,EK47)&gt;3,EK47,"")</f>
        <v/>
      </c>
      <c r="EL48" s="108" t="str">
        <f t="shared" ref="EL48" si="1735">IF(COUNTIF($EG47:$EZ47,EL47)&gt;3,EL47,"")</f>
        <v/>
      </c>
      <c r="EM48" s="108" t="str">
        <f t="shared" ref="EM48" si="1736">IF(COUNTIF($EG47:$EZ47,EM47)&gt;3,EM47,"")</f>
        <v/>
      </c>
      <c r="EN48" s="108" t="str">
        <f t="shared" ref="EN48" si="1737">IF(COUNTIF($EG47:$EZ47,EN47)&gt;3,EN47,"")</f>
        <v/>
      </c>
      <c r="EO48" s="108" t="str">
        <f t="shared" ref="EO48" si="1738">IF(COUNTIF($EG47:$EZ47,EO47)&gt;3,EO47,"")</f>
        <v/>
      </c>
      <c r="EP48" s="108" t="str">
        <f t="shared" ref="EP48" si="1739">IF(COUNTIF($EG47:$EZ47,EP47)&gt;3,EP47,"")</f>
        <v/>
      </c>
      <c r="EQ48" s="108" t="str">
        <f t="shared" ref="EQ48" si="1740">IF(COUNTIF($EG47:$EZ47,EQ47)&gt;3,EQ47,"")</f>
        <v/>
      </c>
      <c r="ER48" s="108" t="str">
        <f t="shared" ref="ER48" si="1741">IF(COUNTIF($EG47:$EZ47,ER47)&gt;3,ER47,"")</f>
        <v/>
      </c>
      <c r="ES48" s="108" t="str">
        <f t="shared" ref="ES48" si="1742">IF(COUNTIF($EG47:$EZ47,ES47)&gt;3,ES47,"")</f>
        <v/>
      </c>
      <c r="ET48" s="108" t="str">
        <f t="shared" ref="ET48" si="1743">IF(COUNTIF($EG47:$EZ47,ET47)&gt;3,ET47,"")</f>
        <v/>
      </c>
      <c r="EU48" s="108" t="str">
        <f t="shared" ref="EU48" si="1744">IF(COUNTIF($EG47:$EZ47,EU47)&gt;3,EU47,"")</f>
        <v/>
      </c>
      <c r="EV48" s="108" t="str">
        <f t="shared" ref="EV48" si="1745">IF(COUNTIF($EG47:$EZ47,EV47)&gt;3,EV47,"")</f>
        <v/>
      </c>
      <c r="EW48" s="108" t="str">
        <f t="shared" ref="EW48" si="1746">IF(COUNTIF($EG47:$EZ47,EW47)&gt;3,EW47,"")</f>
        <v/>
      </c>
      <c r="EX48" s="108" t="str">
        <f t="shared" ref="EX48" si="1747">IF(COUNTIF($EG47:$EZ47,EX47)&gt;3,EX47,"")</f>
        <v/>
      </c>
      <c r="EY48" s="108" t="str">
        <f t="shared" ref="EY48" si="1748">IF(COUNTIF($EG47:$EZ47,EY47)&gt;3,EY47,"")</f>
        <v/>
      </c>
      <c r="EZ48" s="108" t="str">
        <f t="shared" ref="EZ48" si="1749">IF(COUNTIF($EG47:$EZ47,EZ47)&gt;3,EZ47,"")</f>
        <v/>
      </c>
      <c r="FA48" s="108"/>
      <c r="FB48" s="108"/>
      <c r="FC48" s="108"/>
      <c r="FD48" s="108"/>
      <c r="FE48" s="108"/>
      <c r="FF48" s="108"/>
      <c r="FG48" s="108"/>
      <c r="FH48" s="108"/>
      <c r="FI48" s="108" t="str">
        <f t="shared" ref="FI48" si="1750">IF($F47="Hybrid - Thrust + 2 connections",COUNTBLANK(J47:L47),"")</f>
        <v/>
      </c>
      <c r="FJ48" s="108"/>
      <c r="FN48" s="111"/>
    </row>
    <row r="49" spans="1:170" x14ac:dyDescent="0.3">
      <c r="A49" s="40" t="str">
        <f>IF(AND(E47="",A47&lt;&gt;""),IF(BS47=$BS$18,"",IF(C47&lt;&gt;"",IF(D47=59,MINUTE(BS47)+1,MINUTE(BS47)),"")),"")</f>
        <v/>
      </c>
      <c r="B49" s="41" t="str">
        <f>IF(AND(E47="",B47&lt;&gt;""),IF(BS47=$BS$18,"",IF(C47&lt;&gt;"",IF(D47=59,0,SECOND(BS47)+1),"")),"")</f>
        <v/>
      </c>
      <c r="C49" s="51"/>
      <c r="D49" s="51"/>
      <c r="E49" s="9"/>
      <c r="F49" s="52"/>
      <c r="G49" s="43" t="str">
        <f>IF(F49&lt;&gt;"",IF(OR(F49="Transition",F49="Transition - Surface Connection"),0,MAX($G$19:G48)+1),"")</f>
        <v/>
      </c>
      <c r="H49" s="57" t="str">
        <f t="shared" ref="H49" si="1751">IFERROR(IF(E50="3","",IF(OR(F49="Hybrid - min 4 swimmers (no DD)",LEFT(F49,5)="Trans"),"No DD",CONCATENATE("BM = ",I50))),"")</f>
        <v/>
      </c>
      <c r="I49" s="58"/>
      <c r="J49" s="130"/>
      <c r="K49" s="137"/>
      <c r="L49" s="137"/>
      <c r="M49" s="137"/>
      <c r="N49" s="137"/>
      <c r="O49" s="137"/>
      <c r="P49" s="137"/>
      <c r="Q49" s="137"/>
      <c r="R49" s="137"/>
      <c r="S49" s="137"/>
      <c r="T49" s="137"/>
      <c r="U49" s="137"/>
      <c r="V49" s="137"/>
      <c r="W49" s="137"/>
      <c r="X49" s="137"/>
      <c r="Y49" s="137"/>
      <c r="Z49" s="137"/>
      <c r="AA49" s="137"/>
      <c r="AB49" s="137"/>
      <c r="AC49" s="137"/>
      <c r="AD49" s="191"/>
      <c r="AE49" s="44"/>
      <c r="AF49" s="75"/>
      <c r="AG49" s="75"/>
      <c r="AH49" s="110"/>
      <c r="AI49" s="110"/>
      <c r="AJ49" s="110"/>
      <c r="AK49" s="110"/>
      <c r="AL49" s="110"/>
      <c r="AM49" s="110"/>
      <c r="AN49" s="110"/>
      <c r="AO49" s="110"/>
      <c r="AP49" s="110"/>
      <c r="AQ49" s="110"/>
      <c r="AR49" s="110"/>
      <c r="AS49" s="110"/>
      <c r="AT49" s="110" t="str">
        <f>IFERROR(IF(F49&lt;&gt;"",INDEX(Parts_Active,MATCH(F49,Parts_Active,0)),""),"No")</f>
        <v/>
      </c>
      <c r="AU49" s="110"/>
      <c r="AV49" s="110" t="str">
        <f t="shared" ref="AV49" si="1752">IF($E50="H",IF($F49="Hybrid - Thrust + 2 connections","Hybrid_Mix_Req","HybridDD_Code"),IF($E50=3,"TreDD_Code",IF($E50="PA","AcroPair_Code",IF(LEFT($F49,4)="Acro",CONCATENATE(AV$16,$E50,"_Code"),"Data!$BI$1:$BI$5"))))</f>
        <v>Data!$BI$1:$BI$5</v>
      </c>
      <c r="AW49" s="110" t="str">
        <f t="shared" ref="AW49" si="1753">IF($E50="H",IF($F49="Hybrid - Thrust + 2 connections","Hybrid_Mix_Req","HybridDD_Code"),IF($E50=3,"TreDD_Code",IF($E50="PA","AcroPair_Code",IF(LEFT($F49,4)="Acro",CONCATENATE(AW$16,$E50,"_Code"),"Data!$BI$1:$BI$5"))))</f>
        <v>Data!$BI$1:$BI$5</v>
      </c>
      <c r="AX49" s="110" t="str">
        <f t="shared" ref="AX49" si="1754">IF($E50="H",IF($F49="Hybrid - Thrust + 2 connections","Hybrid_Mix_Req","HybridDD_Code"),IF($E50=3,"TreDD_Code",IF($E50="PA","AcroPair_Code",IF(LEFT($F49,4)="Acro",CONCATENATE(AX$16,$E50,"_Code"),"Data!$BI$1:$BI$5"))))</f>
        <v>Data!$BI$1:$BI$5</v>
      </c>
      <c r="AY49" s="110" t="str">
        <f t="shared" ref="AY49" si="1755">IF($E50="H",IF($F49="Hybrid - Thrust + 2 connections","Data!$BI$1:$BI$5","HybridDD_Code"),IF($E50=3,"Data!$BI$1:$BI$5",IF(LEFT($F49,4)="Acro",CONCATENATE(AY$16,$E50,"_Code"),IF($E50="PA","","Data!$BI$1:$BI$5"))))</f>
        <v>Data!$BI$1:$BI$5</v>
      </c>
      <c r="AZ49" s="110" t="str">
        <f t="shared" ref="AZ49" si="1756">IF($E50="H",IF($F49="Hybrid - Thrust + 2 connections","Data!$BI$1:$BI$5","HybridDD_Code"),IF($E50=3,"Data!$BI$1:$BI$5",IF(LEFT($F49,4)="Acro",CONCATENATE(AZ$16,$E50,"_Code"),IF($E50="PA","","Data!$BI$1:$BI$5"))))</f>
        <v>Data!$BI$1:$BI$5</v>
      </c>
      <c r="BA49" s="110" t="str">
        <f t="shared" ref="BA49" si="1757">IF($E50="H",IF($F49="Hybrid - Thrust + 2 connections","Data!$BI$1:$BI$5","HybridDD_Code"),IF($E50=3,"Data!$BI$1:$BI$5",IF(LEFT($F49,4)="Acro",CONCATENATE(BA$16,$E50,"_Code"),IF($E50="PA","","Data!$BI$1:$BI$5"))))</f>
        <v>Data!$BI$1:$BI$5</v>
      </c>
      <c r="BB49" s="110" t="str">
        <f t="shared" ref="BB49" si="1758">IF($E50="H",IF($F49="Hybrid - Thrust + 2 connections","Data!$BI$1:$BI$5","HybridDD_Code"),IF($E50=3,"Data!$BI$1:$BI$5",IF(LEFT($F49,4)="Acro",CONCATENATE(BB$16,$E50,"_Code"),IF($E50="PA","","Data!$BI$1:$BI$5"))))</f>
        <v>Data!$BI$1:$BI$5</v>
      </c>
      <c r="BC49" s="110" t="str">
        <f t="shared" ref="BC49" si="1759">IF($E50="H",IF($F49="Hybrid - Thrust + 2 connections","Data!$BI$1:$BI$5","HybridDD_Code"),IF($E50=3,"Data!$BI$1:$BI$5",IF(LEFT($F49,4)="Acro",CONCATENATE(BC$16,$E50,"_Code"),IF($E50="PA","","Data!$BI$1:$BI$5"))))</f>
        <v>Data!$BI$1:$BI$5</v>
      </c>
      <c r="BD49" s="110" t="str">
        <f t="shared" ref="BD49" si="1760">IF($E50="H",IF($F49="Hybrid - Thrust + 2 connections","Data!$BI$1:$BI$5","HybridDD_Code"),IF($E50=3,"Data!$BI$1:$BI$5",IF(LEFT($F49,4)="Acro",CONCATENATE(BD$16,$E50,"_Code"),IF($E50="PA","","Data!$BI$1:$BI$5"))))</f>
        <v>Data!$BI$1:$BI$5</v>
      </c>
      <c r="BE49" s="110" t="str">
        <f t="shared" ref="BE49" si="1761">IF($E50="H",IF($F49="Hybrid - Thrust + 2 connections","Data!$BI$1:$BI$5","HybridDD_Code"),"Data!$BI$1:$BI$5")</f>
        <v>Data!$BI$1:$BI$5</v>
      </c>
      <c r="BF49" s="110" t="str">
        <f t="shared" ref="BF49:BO58" si="1762">$BE49</f>
        <v>Data!$BI$1:$BI$5</v>
      </c>
      <c r="BG49" s="110" t="str">
        <f t="shared" si="1762"/>
        <v>Data!$BI$1:$BI$5</v>
      </c>
      <c r="BH49" s="110" t="str">
        <f t="shared" si="1762"/>
        <v>Data!$BI$1:$BI$5</v>
      </c>
      <c r="BI49" s="110" t="str">
        <f t="shared" si="1762"/>
        <v>Data!$BI$1:$BI$5</v>
      </c>
      <c r="BJ49" s="110" t="str">
        <f t="shared" si="1762"/>
        <v>Data!$BI$1:$BI$5</v>
      </c>
      <c r="BK49" s="110" t="str">
        <f t="shared" si="1762"/>
        <v>Data!$BI$1:$BI$5</v>
      </c>
      <c r="BL49" s="110" t="str">
        <f t="shared" si="1762"/>
        <v>Data!$BI$1:$BI$5</v>
      </c>
      <c r="BM49" s="110" t="str">
        <f t="shared" si="1762"/>
        <v>Data!$BI$1:$BI$5</v>
      </c>
      <c r="BN49" s="110" t="str">
        <f t="shared" si="1762"/>
        <v>Data!$BI$1:$BI$5</v>
      </c>
      <c r="BO49" s="110" t="str">
        <f t="shared" si="1762"/>
        <v>Data!$BI$1:$BI$5</v>
      </c>
      <c r="BP49" s="110"/>
      <c r="BQ49" s="110"/>
      <c r="BR49" s="113" t="str">
        <f t="shared" ref="BR49" si="1763">IFERROR(TIME(0,A49,B49),"")</f>
        <v/>
      </c>
      <c r="BS49" s="114">
        <f>IFERROR(TIME(0,C49,D49),"")</f>
        <v>0</v>
      </c>
      <c r="BT49" s="114" t="str">
        <f t="shared" ref="BT49" si="1764">IF(BS49&gt;$D$12,"X","")</f>
        <v/>
      </c>
      <c r="BU49" s="108" t="str">
        <f>IF(AND(F49="Hybrid - Thrust + 2 connections",OR(LEFT(J49,1)="T",LEFT(K49,1)="T",LEFT(L49,1)="T",LEFT(NG49,1)="T",LEFT(M49,1)="T",LEFT(N49,1)="T",LEFT(O49,1)="T",LEFT(P49,1)="T",LEFT(Q49,1)="T",LEFT(R49,1)="T",LEFT(S49,1)="T",LEFT(T49,1)="T",LEFT(U49,1)="T",LEFT(V49,1)="T",LEFT(W49,1)="T",LEFT(X49,1)="T",LEFT(AA49,1)="T",LEFT(AB49,1)="T",LEFT(AC49,1)="T")),IF(OR(LEN(J49)=2,LEN(K49)=2,LEN(L49)=2,LEN(M49)=2,LEN(N49)=2,LEN(O49)=2,LEN(P49)=2,LEN(Q49)=2,LEN(R49)=2,LEN(S49)=2,LEN(T49)=2,LEN(U49)=2,LEN(V49)=2,LEN(W49)=2,LEN(X49)=2,LEN(Y49)=2,LEN(Z49)=2,LEN(AA49)=2,LEN(AB49)=2,LEN(AC49)=2),"X",""),"")</f>
        <v/>
      </c>
      <c r="BV49" s="111" t="str">
        <f>IF(F49="Hybrid",SECOND(BS49),"")</f>
        <v/>
      </c>
      <c r="BW49" s="108" t="str">
        <f>IF(LEFT(F49,4)="Acro",IF(AND(N49&lt;&gt;"",M49=RIGHT(N49,2)),"X","OK"),"")</f>
        <v/>
      </c>
      <c r="BX49" s="110" t="str">
        <f t="shared" ref="BX49:CE49" si="1765">IFERROR(IF(AND(LEFT($F49,4)="Acro",INDEX(Requ_App,MATCH(AV49,Requ_Code,0))="No"),"X",""),"")</f>
        <v/>
      </c>
      <c r="BY49" s="110" t="str">
        <f t="shared" si="1765"/>
        <v/>
      </c>
      <c r="BZ49" s="110" t="str">
        <f t="shared" si="1765"/>
        <v/>
      </c>
      <c r="CA49" s="110" t="str">
        <f t="shared" si="1765"/>
        <v/>
      </c>
      <c r="CB49" s="110" t="str">
        <f t="shared" si="1765"/>
        <v/>
      </c>
      <c r="CC49" s="110" t="str">
        <f t="shared" si="1765"/>
        <v/>
      </c>
      <c r="CD49" s="110" t="str">
        <f t="shared" si="1765"/>
        <v/>
      </c>
      <c r="CE49" s="110" t="str">
        <f t="shared" si="1765"/>
        <v/>
      </c>
      <c r="CF49" s="110" t="str">
        <f>IFERROR(IF(AND(LEFT($F49,4)="Acro",INDEX(Requ_App,MATCH(BC49,Requ_Code,0))="No"),"X",""),"")</f>
        <v/>
      </c>
      <c r="CG49" s="108" t="str">
        <f t="shared" si="9"/>
        <v/>
      </c>
      <c r="CH49" s="108" t="str">
        <f t="shared" si="10"/>
        <v/>
      </c>
      <c r="CI49" s="108" t="str">
        <f t="shared" si="11"/>
        <v/>
      </c>
      <c r="CJ49" s="108" t="str">
        <f t="shared" si="12"/>
        <v/>
      </c>
      <c r="CN49" s="108">
        <f t="shared" ref="CN49" si="1766">IF(AND(E50="A",OR(Q49="Grip",Q49="Conn",Q49="Catch")),"A1",IF(AND(E50="A",OR(Q49="Hula",Q49="RetSq",Q49="RetPa")),"A2",IF(AND(E50="B",OR(Q49="Twirl",Q49="RotF")),"B1",IF(AND(E50="B",OR(Q49="Moon",Q49="Mov")),"B2",IF(AND(E50="B",Q49="Hold"),"B3",IF(AND(E50="P",OR(Q49="Porp",Q49="Spitch")),"P1",IF(AND(E50="P",OR(Q49="Dive",Q49="Ps1",Q49="Ps1t0.5",Q49="Ps1op",Q49="Ps1t0,5o",Q49="Ps1t1",Q49="CH+")),"P2",IF(AND(E50="P",OR(Q49="Spider",Q49="Climb")),"P3",IF(AND(E50="P",OR(Q49="Fall",Q49="FTurn")),"P4",IF(AND(E50="C",OR(Q49="Jump",Q49="Jump&gt;",Q49="On1Foot",Q49="1F&gt;1F")),"C1",IF(AND(E50="C",OR(Q49="Run",Q49="BRun")),"C2",1)))))))))))</f>
        <v>1</v>
      </c>
      <c r="CO49" s="108">
        <f t="shared" ref="CO49" si="1767">IF(AND(E50="A",OR(R49="Grip",R49="Conn",R49="Catch")),"A1",IF(AND(E50="A",OR(R49="Hula",R49="RetSq",R49="RetPa")),"A2",IF(AND(E50="B",OR(R49="Twirl",R49="RotF")),"B1",IF(AND(E50="B",OR(R49="Moon",R49="Mov")),"B3",IF(AND(E50="B",R49="Hold"),"B2",IF(AND(E50="P",OR(R49="Porp",R49="Spitch")),"P1",IF(AND(E50="P",OR(R49="Dive",R49="Ps1",R49="Ps1t0.5",R49="Ps1op",R49="Ps1t0,5o",R49="Ps1t1",R49="CH+")),"P2",IF(AND(E50="P",OR(R49="Spider",R49="Climb")),"P3",IF(AND(E50="P",OR(R49="Fall",R49="FTurn")),"P4",IF(AND(E50="C",OR(R49="Jump",R49="Jump&gt;",R49="On1Foot",R49="1F&gt;1F")),"C1",IF(AND(E50="C",OR(R49="Run",R49="BRun")),"C2",2)))))))))))</f>
        <v>2</v>
      </c>
      <c r="CP49" s="108" t="str">
        <f t="shared" ref="CP49" si="1768">IF(AND(LEFT(F49,4)="Acro",Q49&lt;&gt;"",OR(Q49=R49,CN49=CO49)),IF(R49="C-Roll","","X"),IF(OR(AND(E50="A",Q49="Catch",R49&lt;&gt;"Dbl"),AND(E50="A",R49="Catch",Q49&lt;&gt;"Dbl")),"X",""))</f>
        <v/>
      </c>
      <c r="CQ49" s="108" t="str">
        <f t="shared" ref="CQ49" si="1769">IF(E50="PA",J49,"")</f>
        <v/>
      </c>
      <c r="CR49" s="108">
        <v>31</v>
      </c>
      <c r="CT49" s="108" t="str">
        <f t="shared" ref="CT49" si="1770">IF(AND($E50="A",COUNTIF($DC$19:$DD$68,DC49)&gt;1),DC49,"")</f>
        <v/>
      </c>
      <c r="CU49" s="108" t="str">
        <f t="shared" ref="CU49" si="1771">IF(AND($E50="A",COUNTIF($DC$19:$DD$68,DD49)&gt;1),DD49,"")</f>
        <v/>
      </c>
      <c r="CV49" s="108" t="str">
        <f t="shared" ref="CV49" ca="1" si="1772">IF(AND($E50="B",COUNTIF($J$19:$J$68,J49)&gt;1),J49,"")</f>
        <v/>
      </c>
      <c r="CW49" s="108" t="str">
        <f t="shared" ref="CW49" ca="1" si="1773">IF(AND($E50="B",COUNTIF($K$19:$K$68,K49)&gt;1),K49,"")</f>
        <v/>
      </c>
      <c r="CX49" s="108" t="str">
        <f t="shared" ref="CX49" ca="1" si="1774">IF(AND($E50="C",COUNTIF($J$19:$J$68,J49)&gt;1),J49,"")</f>
        <v/>
      </c>
      <c r="CY49" s="108" t="str">
        <f t="shared" ref="CY49" ca="1" si="1775">IF(AND($E50="P",COUNTIF($J$19:$J$68,J49)&gt;1),J49,"")</f>
        <v/>
      </c>
      <c r="CZ49" s="108" t="str">
        <f t="shared" ref="CZ49" ca="1" si="1776">IF(AND($E50="P",COUNTIF($K$19:$K$68,K49)&gt;1),K49,"")</f>
        <v/>
      </c>
      <c r="DA49" s="108" t="str">
        <f t="shared" ref="DA49" si="1777">IF(AND($E50="P",COUNTIF($DC$19:$DD$68,DC49)&gt;1),DC49,"")</f>
        <v/>
      </c>
      <c r="DB49" s="108" t="str">
        <f t="shared" ref="DB49" si="1778">IF(AND($E50="P",COUNTIF($DC$19:$DD$68,DD49)&gt;1),DD49,"")</f>
        <v/>
      </c>
      <c r="DC49" s="108" t="str">
        <f t="shared" ref="DC49" si="1779">IFERROR(IF(OR(E50="A",E50="P"),M49,""),"")</f>
        <v/>
      </c>
      <c r="DD49" s="108" t="str">
        <f t="shared" ref="DD49" si="1780">IFERROR(IF(OR(E50="A",E50="P"),RIGHT(N49,2),""),"")</f>
        <v/>
      </c>
      <c r="DF49" s="108" t="str">
        <f t="shared" ref="DF49" si="1781">IF(AND($F$8="Open Team Acrobatic",LEFT(F49,4)="Acro"),E50,"")</f>
        <v/>
      </c>
      <c r="DG49" s="108" t="str">
        <f t="shared" ref="DG49" si="1782">IFERROR(IF(HLOOKUP(DF49,$DD$12:$DG$13,2,FALSE)&gt;2,"X",""),"")</f>
        <v/>
      </c>
      <c r="DI49" s="108" t="str">
        <f t="shared" ref="DI49" si="1783">IF(OR(AND(F49="Hybrid - Thrust + 2 connections",DI50="T"),AND(F49="Hybrid - Free",DI50&lt;&gt;"")),"X","")</f>
        <v/>
      </c>
      <c r="DK49" s="108">
        <f t="shared" ref="DK49" si="1784">IFERROR(IF(AND($E50="H",J49&lt;&gt;""),IF(OR(LEFT(J49,1)="T",LEFT(J49,1)="S",LEFT(J49,1)="A",LEFT(J49,1)="F",LEFT(J49,1)="C"),LEFT(J49,1),"R"),DK$18),"")</f>
        <v>1</v>
      </c>
      <c r="DL49" s="108">
        <f t="shared" ref="DL49" si="1785">IFERROR(IF(AND($E50="H",K49&lt;&gt;""),IF(OR(LEFT(K49,1)="T",LEFT(K49,1)="S",LEFT(K49,1)="A",LEFT(K49,1)="F",LEFT(K49,1)="C"),LEFT(K49,1),"R"),DL$18),"")</f>
        <v>2</v>
      </c>
      <c r="DM49" s="108">
        <f t="shared" ref="DM49" si="1786">IFERROR(IF(AND($E50="H",L49&lt;&gt;""),IF(OR(LEFT(L49,1)="T",LEFT(L49,1)="S",LEFT(L49,1)="A",LEFT(L49,1)="F",LEFT(L49,1)="C"),LEFT(L49,1),"R"),DM$18),"")</f>
        <v>3</v>
      </c>
      <c r="DN49" s="108">
        <f t="shared" ref="DN49" si="1787">IFERROR(IF(AND($E50="H",M49&lt;&gt;""),IF(OR(LEFT(M49,1)="T",LEFT(M49,1)="S",LEFT(M49,1)="A",LEFT(M49,1)="F",LEFT(M49,1)="C"),LEFT(M49,1),"R"),DN$18),"")</f>
        <v>4</v>
      </c>
      <c r="DO49" s="108">
        <f t="shared" ref="DO49" si="1788">IFERROR(IF(AND($E50="H",N49&lt;&gt;""),IF(OR(LEFT(N49,1)="T",LEFT(N49,1)="S",LEFT(N49,1)="A",LEFT(N49,1)="F",LEFT(N49,1)="C"),LEFT(N49,1),"R"),DO$18),"")</f>
        <v>5</v>
      </c>
      <c r="DP49" s="108">
        <f t="shared" ref="DP49" si="1789">IFERROR(IF(AND($E50="H",O49&lt;&gt;""),IF(OR(LEFT(O49,1)="T",LEFT(O49,1)="S",LEFT(O49,1)="A",LEFT(O49,1)="F",LEFT(O49,1)="C"),LEFT(O49,1),"R"),DP$18),"")</f>
        <v>6</v>
      </c>
      <c r="DQ49" s="108">
        <f t="shared" ref="DQ49" si="1790">IFERROR(IF(AND($E50="H",P49&lt;&gt;""),IF(OR(LEFT(P49,1)="T",LEFT(P49,1)="S",LEFT(P49,1)="A",LEFT(P49,1)="F",LEFT(P49,1)="C"),LEFT(P49,1),"R"),DQ$18),"")</f>
        <v>7</v>
      </c>
      <c r="DR49" s="108">
        <f t="shared" ref="DR49" si="1791">IFERROR(IF(AND($E50="H",Q49&lt;&gt;""),IF(OR(LEFT(Q49,1)="T",LEFT(Q49,1)="S",LEFT(Q49,1)="A",LEFT(Q49,1)="F",LEFT(Q49,1)="C"),LEFT(Q49,1),"R"),DR$18),"")</f>
        <v>8</v>
      </c>
      <c r="DS49" s="108">
        <f t="shared" ref="DS49" si="1792">IFERROR(IF(AND($E50="H",R49&lt;&gt;""),IF(OR(LEFT(R49,1)="T",LEFT(R49,1)="S",LEFT(R49,1)="A",LEFT(R49,1)="F",LEFT(R49,1)="C"),LEFT(R49,1),"R"),DS$18),"")</f>
        <v>9</v>
      </c>
      <c r="DT49" s="108">
        <f t="shared" ref="DT49" si="1793">IFERROR(IF(AND($E50="H",S49&lt;&gt;""),IF(OR(LEFT(S49,1)="T",LEFT(S49,1)="S",LEFT(S49,1)="A",LEFT(S49,1)="F",LEFT(S49,1)="C"),LEFT(S49,1),"R"),DT$18),"")</f>
        <v>10</v>
      </c>
      <c r="DU49" s="108">
        <f t="shared" ref="DU49" si="1794">IFERROR(IF(AND($E50="H",T49&lt;&gt;""),IF(OR(LEFT(T49,1)="T",LEFT(T49,1)="S",LEFT(T49,1)="A",LEFT(T49,1)="F",LEFT(T49,1)="C"),LEFT(T49,1),"R"),DU$18),"")</f>
        <v>11</v>
      </c>
      <c r="DV49" s="108">
        <f t="shared" ref="DV49" si="1795">IFERROR(IF(AND($E50="H",U49&lt;&gt;""),IF(OR(LEFT(U49,1)="T",LEFT(U49,1)="S",LEFT(U49,1)="A",LEFT(U49,1)="F",LEFT(U49,1)="C"),LEFT(U49,1),"R"),DV$18),"")</f>
        <v>12</v>
      </c>
      <c r="DW49" s="108">
        <f t="shared" ref="DW49" si="1796">IFERROR(IF(AND($E50="H",V49&lt;&gt;""),IF(OR(LEFT(V49,1)="T",LEFT(V49,1)="S",LEFT(V49,1)="A",LEFT(V49,1)="F",LEFT(V49,1)="C"),LEFT(V49,1),"R"),DW$18),"")</f>
        <v>13</v>
      </c>
      <c r="DX49" s="108">
        <f t="shared" ref="DX49" si="1797">IFERROR(IF(AND($E50="H",W49&lt;&gt;""),IF(OR(LEFT(W49,1)="T",LEFT(W49,1)="S",LEFT(W49,1)="A",LEFT(W49,1)="F",LEFT(W49,1)="C"),LEFT(W49,1),"R"),DX$18),"")</f>
        <v>14</v>
      </c>
      <c r="DY49" s="108">
        <f t="shared" ref="DY49" si="1798">IFERROR(IF(AND($E50="H",X49&lt;&gt;""),IF(OR(LEFT(X49,1)="T",LEFT(X49,1)="S",LEFT(X49,1)="A",LEFT(X49,1)="F",LEFT(X49,1)="C"),LEFT(X49,1),"R"),DY$18),"")</f>
        <v>15</v>
      </c>
      <c r="DZ49" s="108">
        <f t="shared" ref="DZ49" si="1799">IFERROR(IF(AND($E50="H",Y49&lt;&gt;""),IF(OR(LEFT(Y49,1)="T",LEFT(Y49,1)="S",LEFT(Y49,1)="A",LEFT(Y49,1)="F",LEFT(Y49,1)="C"),LEFT(Y49,1),"R"),DZ$18),"")</f>
        <v>16</v>
      </c>
      <c r="EA49" s="108">
        <f t="shared" ref="EA49" si="1800">IFERROR(IF(AND($E50="H",Z49&lt;&gt;""),IF(OR(LEFT(Z49,1)="T",LEFT(Z49,1)="S",LEFT(Z49,1)="A",LEFT(Z49,1)="F",LEFT(Z49,1)="C"),LEFT(Z49,1),"R"),EA$18),"")</f>
        <v>17</v>
      </c>
      <c r="EB49" s="108">
        <f t="shared" ref="EB49" si="1801">IFERROR(IF(AND($E50="H",AA49&lt;&gt;""),IF(OR(LEFT(AA49,1)="T",LEFT(AA49,1)="S",LEFT(AA49,1)="A",LEFT(AA49,1)="F",LEFT(AA49,1)="C"),LEFT(AA49,1),"R"),EB$18),"")</f>
        <v>18</v>
      </c>
      <c r="EC49" s="108">
        <f t="shared" ref="EC49" si="1802">IFERROR(IF(AND($E50="H",AB49&lt;&gt;""),IF(OR(LEFT(AB49,1)="T",LEFT(AB49,1)="S",LEFT(AB49,1)="A",LEFT(AB49,1)="F",LEFT(AB49,1)="C"),LEFT(AB49,1),"R"),EC$18),"")</f>
        <v>19</v>
      </c>
      <c r="ED49" s="108">
        <f t="shared" ref="ED49" si="1803">IFERROR(IF(AND($E50="H",AC49&lt;&gt;""),IF(OR(LEFT(AC49,1)="T",LEFT(AC49,1)="S",LEFT(AC49,1)="A",LEFT(AC49,1)="F",LEFT(AC49,1)="C"),LEFT(AC49,1),"R"),ED$18),"")</f>
        <v>20</v>
      </c>
      <c r="EE49" s="108"/>
      <c r="EF49" s="108"/>
      <c r="EG49" s="108">
        <f t="shared" ref="EG49:EZ49" si="1804">IFERROR(IF(J49&lt;&gt;"",UPPER(J49),EG$18),EG$18)</f>
        <v>1</v>
      </c>
      <c r="EH49" s="108">
        <f t="shared" si="1804"/>
        <v>2</v>
      </c>
      <c r="EI49" s="108">
        <f t="shared" si="1804"/>
        <v>3</v>
      </c>
      <c r="EJ49" s="108">
        <f t="shared" si="1804"/>
        <v>4</v>
      </c>
      <c r="EK49" s="108">
        <f t="shared" si="1804"/>
        <v>5</v>
      </c>
      <c r="EL49" s="108">
        <f t="shared" si="1804"/>
        <v>6</v>
      </c>
      <c r="EM49" s="108">
        <f t="shared" si="1804"/>
        <v>7</v>
      </c>
      <c r="EN49" s="108">
        <f t="shared" si="1804"/>
        <v>8</v>
      </c>
      <c r="EO49" s="108">
        <f t="shared" si="1804"/>
        <v>9</v>
      </c>
      <c r="EP49" s="108">
        <f t="shared" si="1804"/>
        <v>10</v>
      </c>
      <c r="EQ49" s="108">
        <f t="shared" si="1804"/>
        <v>11</v>
      </c>
      <c r="ER49" s="108">
        <f t="shared" si="1804"/>
        <v>12</v>
      </c>
      <c r="ES49" s="108">
        <f t="shared" si="1804"/>
        <v>13</v>
      </c>
      <c r="ET49" s="108">
        <f t="shared" si="1804"/>
        <v>14</v>
      </c>
      <c r="EU49" s="108">
        <f t="shared" si="1804"/>
        <v>15</v>
      </c>
      <c r="EV49" s="108">
        <f t="shared" si="1804"/>
        <v>16</v>
      </c>
      <c r="EW49" s="108">
        <f t="shared" si="1804"/>
        <v>17</v>
      </c>
      <c r="EX49" s="108">
        <f t="shared" si="1804"/>
        <v>18</v>
      </c>
      <c r="EY49" s="108">
        <f t="shared" si="1804"/>
        <v>19</v>
      </c>
      <c r="EZ49" s="108">
        <f t="shared" si="1804"/>
        <v>20</v>
      </c>
      <c r="FA49" s="108"/>
      <c r="FB49" s="108">
        <f t="shared" ref="FB49" si="1805">COUNTIF($DK49:$ED49,FB$18)</f>
        <v>0</v>
      </c>
      <c r="FC49" s="108">
        <f t="shared" si="934"/>
        <v>0</v>
      </c>
      <c r="FD49" s="108">
        <f t="shared" si="934"/>
        <v>0</v>
      </c>
      <c r="FE49" s="108">
        <f t="shared" si="934"/>
        <v>0</v>
      </c>
      <c r="FF49" s="108">
        <f t="shared" si="934"/>
        <v>0</v>
      </c>
      <c r="FG49" s="108">
        <f t="shared" si="934"/>
        <v>0</v>
      </c>
      <c r="FH49" s="108"/>
      <c r="FI49" s="108" t="str">
        <f t="shared" ref="FI49" si="1806">IF(AND($F49="Hybrid - Thrust + 2 connections",FI50=0,LEFT($J49,1)="C",LEFT($K49,1)="C",LEFT($L49,1)="C"),"X","")</f>
        <v/>
      </c>
      <c r="FJ49" s="108"/>
      <c r="FL49" s="120" t="e">
        <f>IF(OR(LEFT(#REF!,2)="PL",LEFT(#REF!,2)="PL",LEFT(#REF!,2)="PL",LEFT(#REF!,2)="PL",LEFT(#REF!,2)="PL"),IF($BS$17-BR49&gt;$FL$17,"X",""),"")</f>
        <v>#REF!</v>
      </c>
      <c r="FM49" s="120"/>
      <c r="FN49" s="111" t="str">
        <f>IF(E50=3,_xlfn.NUMBERVALUE(LEFT(J49,1)),"")</f>
        <v/>
      </c>
    </row>
    <row r="50" spans="1:170" x14ac:dyDescent="0.3">
      <c r="A50" s="40"/>
      <c r="B50" s="41"/>
      <c r="C50" s="41"/>
      <c r="D50" s="41"/>
      <c r="E50" s="21" t="str">
        <f t="shared" ref="E50" si="1807">IF(F49="Acrobatic - Pair","PA",IF(F49="Acrobatic Airborn","A",IF(F49="Acrobatic Balance","B",IF(F49="Acrobatic Combined","C",IF(F49="Acrobatic Platform","P",IF(F49="Technical Required Element",3,IF(LEFT(F49,4)="Hybr","H","")))))))</f>
        <v/>
      </c>
      <c r="F50" s="21" t="str">
        <f t="shared" ref="F50" si="1808">IF(AND(F49="Hybrid - Thrust + 2 connections",BU49="X"),"Hybrid - Thrust",IF(OR(E50="A",E50="B",E50="C",E50="P"),"Acrobatic",""))</f>
        <v/>
      </c>
      <c r="G50" s="43"/>
      <c r="H50" s="222" t="str">
        <f t="shared" ref="H50" si="1809">IF(E50="PA",IF(OR(LEFT(J49,1)="L",LEFT(J49,1)="S"),"A-Pair-Lift",IF(OR(LEFT(J49,1)="W",LEFT(J49,1)="T"),"A-Pair-Throw",IF(LEFT(J49,1)="J","A-Pair-Jump","A-Pair"))),IF(OR(E50="A",E50="B",E50="C",E50="P"),CONCATENATE("Acro-",E50),""))</f>
        <v/>
      </c>
      <c r="I50" s="216" t="e">
        <f t="shared" ref="I50" si="1810">IF(OR(F49="Hybrid - min 4 swimmers (no DD)",LEFT(F49,5)="Trans"),0,INDEX($BV$3:$BV$9,MATCH(E50,$BU$3:$BU$9,0)))</f>
        <v>#N/A</v>
      </c>
      <c r="J50" s="210">
        <f t="shared" ref="J50" ca="1" si="1811">IFERROR(IF($H49="No DD",0,IF(OR(ISBLANK(J49),J49="N/A"),0,INDEX(INDIRECT(AV50),MATCH(J49,INDIRECT(AV49),0)))),0)</f>
        <v>0</v>
      </c>
      <c r="K50" s="210">
        <f t="shared" ref="K50" ca="1" si="1812">IFERROR(IF($H49="No DD",0,IF(OR(ISBLANK(K49),K49="N/A"),0,INDEX(INDIRECT(AW50),MATCH(K49,INDIRECT(AW49),0)))),0)</f>
        <v>0</v>
      </c>
      <c r="L50" s="210">
        <f t="shared" ref="L50" ca="1" si="1813">IFERROR(IF($H49="No DD",0,IF(OR(ISBLANK(L49),L49="N/A"),0,INDEX(INDIRECT(AX50),MATCH(L49,INDIRECT(AX49),0)))),0)</f>
        <v>0</v>
      </c>
      <c r="M50" s="210">
        <f t="shared" ref="M50" ca="1" si="1814">IFERROR(IF($H49="No DD",0,IF(OR(ISBLANK(M49),M49="N/A"),0,INDEX(INDIRECT(AY50),MATCH(M49,INDIRECT(AY49),0)))),0)</f>
        <v>0</v>
      </c>
      <c r="N50" s="210">
        <f t="shared" ref="N50" ca="1" si="1815">IFERROR(IF($H49="No DD",0,IF(OR(ISBLANK(N49),N49="N/A"),0,INDEX(INDIRECT(AZ50),MATCH(N49,INDIRECT(AZ49),0)))),0)</f>
        <v>0</v>
      </c>
      <c r="O50" s="210">
        <f t="shared" ref="O50" ca="1" si="1816">IFERROR(IF($H49="No DD",0,IF(OR(ISBLANK(O49),O49="N/A"),0,INDEX(INDIRECT(BA50),MATCH(O49,INDIRECT(BA49),0)))),0)</f>
        <v>0</v>
      </c>
      <c r="P50" s="210">
        <f t="shared" ref="P50" ca="1" si="1817">IFERROR(IF($H49="No DD",0,IF(OR(ISBLANK(P49),P49="N/A"),0,INDEX(INDIRECT(BB50),MATCH(P49,INDIRECT(BB49),0)))),0)</f>
        <v>0</v>
      </c>
      <c r="Q50" s="210">
        <f t="shared" ref="Q50" ca="1" si="1818">IFERROR(IF($H49="No DD",0,IF(OR(ISBLANK(Q49),Q49="N/A"),0,INDEX(INDIRECT(BC50),MATCH(Q49,INDIRECT(BC49),0)))),0)</f>
        <v>0</v>
      </c>
      <c r="R50" s="210">
        <f t="shared" ref="R50" ca="1" si="1819">IFERROR(IF($H49="No DD",0,IF(OR(ISBLANK(R49),R49="N/A"),0,INDEX(INDIRECT(BD50),MATCH(R49,INDIRECT(BD49),0)))),0)</f>
        <v>0</v>
      </c>
      <c r="S50" s="210">
        <f t="shared" ref="S50" ca="1" si="1820">IFERROR(IF($H49="No DD",0,IF(OR(ISBLANK(S49),S49="N/A"),0,INDEX(INDIRECT(BE50),MATCH(S49,INDIRECT(BE49),0)))),0)</f>
        <v>0</v>
      </c>
      <c r="T50" s="210">
        <f t="shared" ref="T50" ca="1" si="1821">IFERROR(IF($H49="No DD",0,IF(OR(ISBLANK(T49),T49="N/A"),0,INDEX(INDIRECT(BF50),MATCH(T49,INDIRECT(BF49),0)))),0)</f>
        <v>0</v>
      </c>
      <c r="U50" s="210">
        <f t="shared" ref="U50" ca="1" si="1822">IFERROR(IF($H49="No DD",0,IF(OR(ISBLANK(U49),U49="N/A"),0,INDEX(INDIRECT(BG50),MATCH(U49,INDIRECT(BG49),0)))),0)</f>
        <v>0</v>
      </c>
      <c r="V50" s="210">
        <f t="shared" ref="V50" ca="1" si="1823">IFERROR(IF($H49="No DD",0,IF(OR(ISBLANK(V49),V49="N/A"),0,INDEX(INDIRECT(BH50),MATCH(V49,INDIRECT(BH49),0)))),0)</f>
        <v>0</v>
      </c>
      <c r="W50" s="210">
        <f t="shared" ref="W50" ca="1" si="1824">IFERROR(IF($H49="No DD",0,IF(OR(ISBLANK(W49),W49="N/A"),0,INDEX(INDIRECT(BI50),MATCH(W49,INDIRECT(BI49),0)))),0)</f>
        <v>0</v>
      </c>
      <c r="X50" s="210">
        <f t="shared" ref="X50" ca="1" si="1825">IFERROR(IF($H49="No DD",0,IF(OR(ISBLANK(X49),X49="N/A"),0,INDEX(INDIRECT(BJ50),MATCH(X49,INDIRECT(BJ49),0)))),0)</f>
        <v>0</v>
      </c>
      <c r="Y50" s="210">
        <f t="shared" ref="Y50" ca="1" si="1826">IFERROR(IF($H49="No DD",0,IF(OR(ISBLANK(Y49),Y49="N/A"),0,INDEX(INDIRECT(BK50),MATCH(Y49,INDIRECT(BK49),0)))),0)</f>
        <v>0</v>
      </c>
      <c r="Z50" s="210">
        <f t="shared" ref="Z50" ca="1" si="1827">IFERROR(IF($H49="No DD",0,IF(OR(ISBLANK(Z49),Z49="N/A"),0,INDEX(INDIRECT(BL50),MATCH(Z49,INDIRECT(BL49),0)))),0)</f>
        <v>0</v>
      </c>
      <c r="AA50" s="210">
        <f t="shared" ref="AA50" ca="1" si="1828">IFERROR(IF($H49="No DD",0,IF(OR(ISBLANK(AA49),AA49="N/A"),0,INDEX(INDIRECT(BM50),MATCH(AA49,INDIRECT(BM49),0)))),0)</f>
        <v>0</v>
      </c>
      <c r="AB50" s="210">
        <f t="shared" ref="AB50" ca="1" si="1829">IFERROR(IF($H49="No DD",0,IF(OR(ISBLANK(AB49),AB49="N/A"),0,INDEX(INDIRECT(BN50),MATCH(AB49,INDIRECT(BN49),0)))),0)</f>
        <v>0</v>
      </c>
      <c r="AC50" s="210">
        <f t="shared" ref="AC50" ca="1" si="1830">IFERROR(IF($H49="No DD",0,IF(OR(ISBLANK(AC49),AC49="N/A"),0,INDEX(INDIRECT(BO50),MATCH(AC49,INDIRECT(BO49),0)))),0)</f>
        <v>0</v>
      </c>
      <c r="AD50" s="211" t="str">
        <f>IFERROR(IF(E50="H",INDEX(HybridBonus_Value,MATCH(AD49,HybridBonus_Code,0)),""),"")</f>
        <v/>
      </c>
      <c r="AE50" s="209" t="str">
        <f t="shared" ref="AE50" si="1831">IFERROR(IF(J49&lt;&gt;"",SUM(I50:AD50),""),"")</f>
        <v/>
      </c>
      <c r="AF50" s="76"/>
      <c r="AG50" s="76"/>
      <c r="AH50" s="121"/>
      <c r="AI50" s="121"/>
      <c r="AJ50" s="121"/>
      <c r="AK50" s="121"/>
      <c r="AL50" s="121"/>
      <c r="AM50" s="121"/>
      <c r="AN50" s="121"/>
      <c r="AO50" s="121"/>
      <c r="AP50" s="121"/>
      <c r="AQ50" s="121"/>
      <c r="AR50" s="121"/>
      <c r="AS50" s="121"/>
      <c r="AT50" s="110"/>
      <c r="AU50" s="121"/>
      <c r="AV50" s="111" t="str">
        <f t="shared" ref="AV50" si="1832">IF($E50="H","HybridDD_Value",IF($E50=3,"TreDD_Value",IF($E50="PA","AcroPair_Value",IF(LEFT($F49,4)="Acro",CONCATENATE(AV$16,$E50,"_Value"),""))))</f>
        <v/>
      </c>
      <c r="AW50" s="111" t="str">
        <f t="shared" ref="AW50:AX50" si="1833">IF($E50="H","HybridDD_Value",IF($E50=3,"",IF(LEFT($F49,4)="Acro",CONCATENATE(AW$16,$E50,"_Value"),IF($E50="PA","",""))))</f>
        <v/>
      </c>
      <c r="AX50" s="111" t="str">
        <f t="shared" si="1833"/>
        <v/>
      </c>
      <c r="AY50" s="111" t="str">
        <f t="shared" ref="AY50:BD50" si="1834">IF($E50="H","HybridDD_Value",IF($E50=3,"",IF(LEFT($F49,4)="Acro",CONCATENATE(AY$16,$E50,"_Value"),IF($E50="PA","",""))))</f>
        <v/>
      </c>
      <c r="AZ50" s="111" t="str">
        <f t="shared" si="1834"/>
        <v/>
      </c>
      <c r="BA50" s="111" t="str">
        <f t="shared" si="1834"/>
        <v/>
      </c>
      <c r="BB50" s="111" t="str">
        <f t="shared" si="1834"/>
        <v/>
      </c>
      <c r="BC50" s="111" t="str">
        <f t="shared" si="1834"/>
        <v/>
      </c>
      <c r="BD50" s="111" t="str">
        <f t="shared" si="1834"/>
        <v/>
      </c>
      <c r="BE50" s="110" t="str">
        <f t="shared" ref="BE50" si="1835">IF($E50="H","HybridDD_Value","Data!$BI$1:$BI$5")</f>
        <v>Data!$BI$1:$BI$5</v>
      </c>
      <c r="BF50" s="110" t="str">
        <f t="shared" si="1762"/>
        <v>Data!$BI$1:$BI$5</v>
      </c>
      <c r="BG50" s="110" t="str">
        <f t="shared" si="1762"/>
        <v>Data!$BI$1:$BI$5</v>
      </c>
      <c r="BH50" s="110" t="str">
        <f t="shared" si="1762"/>
        <v>Data!$BI$1:$BI$5</v>
      </c>
      <c r="BI50" s="110" t="str">
        <f t="shared" si="1762"/>
        <v>Data!$BI$1:$BI$5</v>
      </c>
      <c r="BJ50" s="110" t="str">
        <f t="shared" si="1762"/>
        <v>Data!$BI$1:$BI$5</v>
      </c>
      <c r="BK50" s="110" t="str">
        <f t="shared" si="1762"/>
        <v>Data!$BI$1:$BI$5</v>
      </c>
      <c r="BL50" s="110" t="str">
        <f t="shared" si="1762"/>
        <v>Data!$BI$1:$BI$5</v>
      </c>
      <c r="BM50" s="110" t="str">
        <f t="shared" si="1762"/>
        <v>Data!$BI$1:$BI$5</v>
      </c>
      <c r="BN50" s="110" t="str">
        <f t="shared" si="1762"/>
        <v>Data!$BI$1:$BI$5</v>
      </c>
      <c r="BO50" s="110" t="str">
        <f t="shared" si="1762"/>
        <v>Data!$BI$1:$BI$5</v>
      </c>
      <c r="BP50" s="121"/>
      <c r="BQ50" s="121"/>
      <c r="BR50" s="122" t="str">
        <f>IFERROR(IF(AND($BS$6="T",$BS$8="T",LEFT(F49,4)="Acro",AE50&gt;3),"X",IF($N$7="X",IF(AND(E50="C",AE50&gt;$CA$6),"X",IF(AND(E50="A",AE50&gt;$CA$4),"X",IF(AND(E50="B",AE50&gt;$CA$5),"X",IF(AND(E50="P",AE50&gt;$CA$7),"X","")))),"")),"")</f>
        <v/>
      </c>
      <c r="BS50" s="114"/>
      <c r="BU50" s="108"/>
      <c r="CA50" s="111"/>
      <c r="CB50" s="111"/>
      <c r="CC50" s="111"/>
      <c r="CG50" s="108" t="str">
        <f t="shared" si="9"/>
        <v/>
      </c>
      <c r="CH50" s="108" t="str">
        <f t="shared" si="10"/>
        <v/>
      </c>
      <c r="CI50" s="108" t="str">
        <f t="shared" si="11"/>
        <v/>
      </c>
      <c r="CJ50" s="108" t="str">
        <f t="shared" si="12"/>
        <v/>
      </c>
      <c r="CR50" s="108">
        <v>32</v>
      </c>
      <c r="DI50" s="108" t="str" cm="1">
        <f t="array" ref="DI50">IFERROR(INDEX(DK50:ED50,MATCH(TRUE,INDEX((DK50:ED50&lt;&gt;""),),0)),"")</f>
        <v/>
      </c>
      <c r="DK50" s="108" t="str">
        <f t="shared" ref="DK50" si="1836">IF(F49="Hybrid - Thrust + 2 connections",IF(COUNTIF($DK49:$ED49,DK49)&gt;1,DK49,""),IF(COUNTIF($DK49:$ED49,DK49)&gt;5,DK49,""))</f>
        <v/>
      </c>
      <c r="DL50" s="108" t="str">
        <f t="shared" ref="DL50" si="1837">IF(G49="Hybrid - Thrust + 2 connections",IF(COUNTIF($DK49:$ED49,DL49)&gt;1,DL49,""),IF(COUNTIF($DK49:$ED49,DL49)&gt;5,DL49,""))</f>
        <v/>
      </c>
      <c r="DM50" s="108" t="str">
        <f t="shared" ref="DM50" si="1838">IF(H49="Hybrid - Thrust + 2 connections",IF(COUNTIF($DK49:$ED49,DM49)&gt;1,DM49,""),IF(COUNTIF($DK49:$ED49,DM49)&gt;5,DM49,""))</f>
        <v/>
      </c>
      <c r="DN50" s="108" t="str">
        <f t="shared" ref="DN50" si="1839">IF(I49="Hybrid - Thrust + 2 connections",IF(COUNTIF($DK49:$ED49,DN49)&gt;1,DN49,""),IF(COUNTIF($DK49:$ED49,DN49)&gt;5,DN49,""))</f>
        <v/>
      </c>
      <c r="DO50" s="108" t="str">
        <f t="shared" ref="DO50" si="1840">IF(J49="Hybrid - Thrust + 2 connections",IF(COUNTIF($DK49:$ED49,DO49)&gt;1,DO49,""),IF(COUNTIF($DK49:$ED49,DO49)&gt;5,DO49,""))</f>
        <v/>
      </c>
      <c r="DP50" s="108" t="str">
        <f t="shared" ref="DP50" si="1841">IF(K49="Hybrid - Thrust + 2 connections",IF(COUNTIF($DK49:$ED49,DP49)&gt;1,DP49,""),IF(COUNTIF($DK49:$ED49,DP49)&gt;5,DP49,""))</f>
        <v/>
      </c>
      <c r="DQ50" s="108" t="str">
        <f t="shared" ref="DQ50" si="1842">IF(L49="Hybrid - Thrust + 2 connections",IF(COUNTIF($DK49:$ED49,DQ49)&gt;1,DQ49,""),IF(COUNTIF($DK49:$ED49,DQ49)&gt;5,DQ49,""))</f>
        <v/>
      </c>
      <c r="DR50" s="108" t="str">
        <f t="shared" ref="DR50" si="1843">IF(M49="Hybrid - Thrust + 2 connections",IF(COUNTIF($DK49:$ED49,DR49)&gt;1,DR49,""),IF(COUNTIF($DK49:$ED49,DR49)&gt;5,DR49,""))</f>
        <v/>
      </c>
      <c r="DS50" s="108" t="str">
        <f t="shared" ref="DS50" si="1844">IF(N49="Hybrid - Thrust + 2 connections",IF(COUNTIF($DK49:$ED49,DS49)&gt;1,DS49,""),IF(COUNTIF($DK49:$ED49,DS49)&gt;5,DS49,""))</f>
        <v/>
      </c>
      <c r="DT50" s="108" t="str">
        <f t="shared" ref="DT50" si="1845">IF(O49="Hybrid - Thrust + 2 connections",IF(COUNTIF($DK49:$ED49,DT49)&gt;1,DT49,""),IF(COUNTIF($DK49:$ED49,DT49)&gt;5,DT49,""))</f>
        <v/>
      </c>
      <c r="DU50" s="108" t="str">
        <f t="shared" ref="DU50" si="1846">IF(P49="Hybrid - Thrust + 2 connections",IF(COUNTIF($DK49:$ED49,DU49)&gt;1,DU49,""),IF(COUNTIF($DK49:$ED49,DU49)&gt;5,DU49,""))</f>
        <v/>
      </c>
      <c r="DV50" s="108" t="str">
        <f t="shared" ref="DV50" si="1847">IF(Q49="Hybrid - Thrust + 2 connections",IF(COUNTIF($DK49:$ED49,DV49)&gt;1,DV49,""),IF(COUNTIF($DK49:$ED49,DV49)&gt;5,DV49,""))</f>
        <v/>
      </c>
      <c r="DW50" s="108" t="str">
        <f t="shared" ref="DW50" si="1848">IF(R49="Hybrid - Thrust + 2 connections",IF(COUNTIF($DK49:$ED49,DW49)&gt;1,DW49,""),IF(COUNTIF($DK49:$ED49,DW49)&gt;5,DW49,""))</f>
        <v/>
      </c>
      <c r="DX50" s="108" t="str">
        <f t="shared" ref="DX50" si="1849">IF(S49="Hybrid - Thrust + 2 connections",IF(COUNTIF($DK49:$ED49,DX49)&gt;1,DX49,""),IF(COUNTIF($DK49:$ED49,DX49)&gt;5,DX49,""))</f>
        <v/>
      </c>
      <c r="DY50" s="108" t="str">
        <f t="shared" ref="DY50" si="1850">IF(T49="Hybrid - Thrust + 2 connections",IF(COUNTIF($DK49:$ED49,DY49)&gt;1,DY49,""),IF(COUNTIF($DK49:$ED49,DY49)&gt;5,DY49,""))</f>
        <v/>
      </c>
      <c r="DZ50" s="108" t="str">
        <f t="shared" ref="DZ50" si="1851">IF(U49="Hybrid - Thrust + 2 connections",IF(COUNTIF($DK49:$ED49,DZ49)&gt;1,DZ49,""),IF(COUNTIF($DK49:$ED49,DZ49)&gt;5,DZ49,""))</f>
        <v/>
      </c>
      <c r="EA50" s="108" t="str">
        <f t="shared" ref="EA50" si="1852">IF(V49="Hybrid - Thrust + 2 connections",IF(COUNTIF($DK49:$ED49,EA49)&gt;1,EA49,""),IF(COUNTIF($DK49:$ED49,EA49)&gt;5,EA49,""))</f>
        <v/>
      </c>
      <c r="EB50" s="108" t="str">
        <f t="shared" ref="EB50" si="1853">IF(W49="Hybrid - Thrust + 2 connections",IF(COUNTIF($DK49:$ED49,EB49)&gt;1,EB49,""),IF(COUNTIF($DK49:$ED49,EB49)&gt;5,EB49,""))</f>
        <v/>
      </c>
      <c r="EC50" s="108" t="str">
        <f t="shared" ref="EC50" si="1854">IF(X49="Hybrid - Thrust + 2 connections",IF(COUNTIF($DK49:$ED49,EC49)&gt;1,EC49,""),IF(COUNTIF($DK49:$ED49,EC49)&gt;5,EC49,""))</f>
        <v/>
      </c>
      <c r="ED50" s="108" t="str">
        <f t="shared" ref="ED50" si="1855">IF(Y49="Hybrid - Thrust + 2 connections",IF(COUNTIF($DK49:$ED49,ED49)&gt;1,ED49,""),IF(COUNTIF($DK49:$ED49,ED49)&gt;5,ED49,""))</f>
        <v/>
      </c>
      <c r="EE50" s="108"/>
      <c r="EF50" s="108" t="str" cm="1">
        <f t="array" ref="EF50">IFERROR(INDEX(EG50:EZ50,MATCH(TRUE,INDEX((EG50:EZ50&lt;&gt;""),),0)),"")</f>
        <v/>
      </c>
      <c r="EG50" s="108" t="str">
        <f t="shared" ref="EG50" si="1856">IF(COUNTIF($EG49:$EZ49,EG49)&gt;3,EG49,"")</f>
        <v/>
      </c>
      <c r="EH50" s="108" t="str">
        <f t="shared" ref="EH50" si="1857">IF(COUNTIF($EG49:$EZ49,EH49)&gt;3,EH49,"")</f>
        <v/>
      </c>
      <c r="EI50" s="108" t="str">
        <f t="shared" ref="EI50" si="1858">IF(COUNTIF($EG49:$EZ49,EI49)&gt;3,EI49,"")</f>
        <v/>
      </c>
      <c r="EJ50" s="108" t="str">
        <f t="shared" ref="EJ50" si="1859">IF(COUNTIF($EG49:$EZ49,EJ49)&gt;3,EJ49,"")</f>
        <v/>
      </c>
      <c r="EK50" s="108" t="str">
        <f t="shared" ref="EK50" si="1860">IF(COUNTIF($EG49:$EZ49,EK49)&gt;3,EK49,"")</f>
        <v/>
      </c>
      <c r="EL50" s="108" t="str">
        <f t="shared" ref="EL50" si="1861">IF(COUNTIF($EG49:$EZ49,EL49)&gt;3,EL49,"")</f>
        <v/>
      </c>
      <c r="EM50" s="108" t="str">
        <f t="shared" ref="EM50" si="1862">IF(COUNTIF($EG49:$EZ49,EM49)&gt;3,EM49,"")</f>
        <v/>
      </c>
      <c r="EN50" s="108" t="str">
        <f t="shared" ref="EN50" si="1863">IF(COUNTIF($EG49:$EZ49,EN49)&gt;3,EN49,"")</f>
        <v/>
      </c>
      <c r="EO50" s="108" t="str">
        <f t="shared" ref="EO50" si="1864">IF(COUNTIF($EG49:$EZ49,EO49)&gt;3,EO49,"")</f>
        <v/>
      </c>
      <c r="EP50" s="108" t="str">
        <f t="shared" ref="EP50" si="1865">IF(COUNTIF($EG49:$EZ49,EP49)&gt;3,EP49,"")</f>
        <v/>
      </c>
      <c r="EQ50" s="108" t="str">
        <f t="shared" ref="EQ50" si="1866">IF(COUNTIF($EG49:$EZ49,EQ49)&gt;3,EQ49,"")</f>
        <v/>
      </c>
      <c r="ER50" s="108" t="str">
        <f t="shared" ref="ER50" si="1867">IF(COUNTIF($EG49:$EZ49,ER49)&gt;3,ER49,"")</f>
        <v/>
      </c>
      <c r="ES50" s="108" t="str">
        <f t="shared" ref="ES50" si="1868">IF(COUNTIF($EG49:$EZ49,ES49)&gt;3,ES49,"")</f>
        <v/>
      </c>
      <c r="ET50" s="108" t="str">
        <f t="shared" ref="ET50" si="1869">IF(COUNTIF($EG49:$EZ49,ET49)&gt;3,ET49,"")</f>
        <v/>
      </c>
      <c r="EU50" s="108" t="str">
        <f t="shared" ref="EU50" si="1870">IF(COUNTIF($EG49:$EZ49,EU49)&gt;3,EU49,"")</f>
        <v/>
      </c>
      <c r="EV50" s="108" t="str">
        <f t="shared" ref="EV50" si="1871">IF(COUNTIF($EG49:$EZ49,EV49)&gt;3,EV49,"")</f>
        <v/>
      </c>
      <c r="EW50" s="108" t="str">
        <f t="shared" ref="EW50" si="1872">IF(COUNTIF($EG49:$EZ49,EW49)&gt;3,EW49,"")</f>
        <v/>
      </c>
      <c r="EX50" s="108" t="str">
        <f t="shared" ref="EX50" si="1873">IF(COUNTIF($EG49:$EZ49,EX49)&gt;3,EX49,"")</f>
        <v/>
      </c>
      <c r="EY50" s="108" t="str">
        <f t="shared" ref="EY50" si="1874">IF(COUNTIF($EG49:$EZ49,EY49)&gt;3,EY49,"")</f>
        <v/>
      </c>
      <c r="EZ50" s="108" t="str">
        <f t="shared" ref="EZ50" si="1875">IF(COUNTIF($EG49:$EZ49,EZ49)&gt;3,EZ49,"")</f>
        <v/>
      </c>
      <c r="FA50" s="108"/>
      <c r="FB50" s="108"/>
      <c r="FC50" s="108"/>
      <c r="FD50" s="108"/>
      <c r="FE50" s="108"/>
      <c r="FF50" s="108"/>
      <c r="FG50" s="108"/>
      <c r="FH50" s="108"/>
      <c r="FI50" s="108" t="str">
        <f t="shared" ref="FI50" si="1876">IF($F49="Hybrid - Thrust + 2 connections",COUNTBLANK(J49:L49),"")</f>
        <v/>
      </c>
      <c r="FJ50" s="108"/>
      <c r="FN50" s="111"/>
    </row>
    <row r="51" spans="1:170" x14ac:dyDescent="0.3">
      <c r="A51" s="40" t="str">
        <f>IF(AND(E49="",A49&lt;&gt;""),IF(BS49=$BS$18,"",IF(C49&lt;&gt;"",IF(D49=59,MINUTE(BS49)+1,MINUTE(BS49)),"")),"")</f>
        <v/>
      </c>
      <c r="B51" s="41" t="str">
        <f>IF(AND(E49="",B49&lt;&gt;""),IF(BS49=$BS$18,"",IF(C49&lt;&gt;"",IF(D49=59,0,SECOND(BS49)+1),"")),"")</f>
        <v/>
      </c>
      <c r="C51" s="51"/>
      <c r="D51" s="51"/>
      <c r="E51" s="9"/>
      <c r="F51" s="52"/>
      <c r="G51" s="43" t="str">
        <f>IF(F51&lt;&gt;"",IF(OR(F51="Transition",F51="Transition - Surface Connection"),0,MAX($G$19:G50)+1),"")</f>
        <v/>
      </c>
      <c r="H51" s="57" t="str">
        <f t="shared" ref="H51" si="1877">IFERROR(IF(E52="3","",IF(OR(F51="Hybrid - min 4 swimmers (no DD)",LEFT(F51,5)="Trans"),"No DD",CONCATENATE("BM = ",I52))),"")</f>
        <v/>
      </c>
      <c r="I51" s="58"/>
      <c r="J51" s="130"/>
      <c r="K51" s="137"/>
      <c r="L51" s="137"/>
      <c r="M51" s="137"/>
      <c r="N51" s="137"/>
      <c r="O51" s="137"/>
      <c r="P51" s="137"/>
      <c r="Q51" s="137"/>
      <c r="R51" s="137"/>
      <c r="S51" s="137"/>
      <c r="T51" s="137"/>
      <c r="U51" s="137"/>
      <c r="V51" s="137"/>
      <c r="W51" s="137"/>
      <c r="X51" s="137"/>
      <c r="Y51" s="137"/>
      <c r="Z51" s="137"/>
      <c r="AA51" s="137"/>
      <c r="AB51" s="137"/>
      <c r="AC51" s="137"/>
      <c r="AD51" s="191"/>
      <c r="AE51" s="44"/>
      <c r="AF51" s="75"/>
      <c r="AG51" s="75"/>
      <c r="AH51" s="110"/>
      <c r="AI51" s="110"/>
      <c r="AJ51" s="110"/>
      <c r="AK51" s="110"/>
      <c r="AL51" s="110"/>
      <c r="AM51" s="110"/>
      <c r="AN51" s="110"/>
      <c r="AO51" s="110"/>
      <c r="AP51" s="110"/>
      <c r="AQ51" s="110"/>
      <c r="AR51" s="110"/>
      <c r="AS51" s="110"/>
      <c r="AT51" s="110" t="str">
        <f>IFERROR(IF(F51&lt;&gt;"",INDEX(Parts_Active,MATCH(F51,Parts_Active,0)),""),"No")</f>
        <v/>
      </c>
      <c r="AU51" s="110"/>
      <c r="AV51" s="110" t="str">
        <f t="shared" ref="AV51" si="1878">IF($E52="H",IF($F51="Hybrid - Thrust + 2 connections","Hybrid_Mix_Req","HybridDD_Code"),IF($E52=3,"TreDD_Code",IF($E52="PA","AcroPair_Code",IF(LEFT($F51,4)="Acro",CONCATENATE(AV$16,$E52,"_Code"),"Data!$BI$1:$BI$5"))))</f>
        <v>Data!$BI$1:$BI$5</v>
      </c>
      <c r="AW51" s="110" t="str">
        <f t="shared" ref="AW51" si="1879">IF($E52="H",IF($F51="Hybrid - Thrust + 2 connections","Hybrid_Mix_Req","HybridDD_Code"),IF($E52=3,"TreDD_Code",IF($E52="PA","AcroPair_Code",IF(LEFT($F51,4)="Acro",CONCATENATE(AW$16,$E52,"_Code"),"Data!$BI$1:$BI$5"))))</f>
        <v>Data!$BI$1:$BI$5</v>
      </c>
      <c r="AX51" s="110" t="str">
        <f t="shared" ref="AX51" si="1880">IF($E52="H",IF($F51="Hybrid - Thrust + 2 connections","Hybrid_Mix_Req","HybridDD_Code"),IF($E52=3,"TreDD_Code",IF($E52="PA","AcroPair_Code",IF(LEFT($F51,4)="Acro",CONCATENATE(AX$16,$E52,"_Code"),"Data!$BI$1:$BI$5"))))</f>
        <v>Data!$BI$1:$BI$5</v>
      </c>
      <c r="AY51" s="110" t="str">
        <f t="shared" ref="AY51" si="1881">IF($E52="H",IF($F51="Hybrid - Thrust + 2 connections","Data!$BI$1:$BI$5","HybridDD_Code"),IF($E52=3,"Data!$BI$1:$BI$5",IF(LEFT($F51,4)="Acro",CONCATENATE(AY$16,$E52,"_Code"),IF($E52="PA","","Data!$BI$1:$BI$5"))))</f>
        <v>Data!$BI$1:$BI$5</v>
      </c>
      <c r="AZ51" s="110" t="str">
        <f t="shared" ref="AZ51" si="1882">IF($E52="H",IF($F51="Hybrid - Thrust + 2 connections","Data!$BI$1:$BI$5","HybridDD_Code"),IF($E52=3,"Data!$BI$1:$BI$5",IF(LEFT($F51,4)="Acro",CONCATENATE(AZ$16,$E52,"_Code"),IF($E52="PA","","Data!$BI$1:$BI$5"))))</f>
        <v>Data!$BI$1:$BI$5</v>
      </c>
      <c r="BA51" s="110" t="str">
        <f t="shared" ref="BA51" si="1883">IF($E52="H",IF($F51="Hybrid - Thrust + 2 connections","Data!$BI$1:$BI$5","HybridDD_Code"),IF($E52=3,"Data!$BI$1:$BI$5",IF(LEFT($F51,4)="Acro",CONCATENATE(BA$16,$E52,"_Code"),IF($E52="PA","","Data!$BI$1:$BI$5"))))</f>
        <v>Data!$BI$1:$BI$5</v>
      </c>
      <c r="BB51" s="110" t="str">
        <f t="shared" ref="BB51" si="1884">IF($E52="H",IF($F51="Hybrid - Thrust + 2 connections","Data!$BI$1:$BI$5","HybridDD_Code"),IF($E52=3,"Data!$BI$1:$BI$5",IF(LEFT($F51,4)="Acro",CONCATENATE(BB$16,$E52,"_Code"),IF($E52="PA","","Data!$BI$1:$BI$5"))))</f>
        <v>Data!$BI$1:$BI$5</v>
      </c>
      <c r="BC51" s="110" t="str">
        <f t="shared" ref="BC51" si="1885">IF($E52="H",IF($F51="Hybrid - Thrust + 2 connections","Data!$BI$1:$BI$5","HybridDD_Code"),IF($E52=3,"Data!$BI$1:$BI$5",IF(LEFT($F51,4)="Acro",CONCATENATE(BC$16,$E52,"_Code"),IF($E52="PA","","Data!$BI$1:$BI$5"))))</f>
        <v>Data!$BI$1:$BI$5</v>
      </c>
      <c r="BD51" s="110" t="str">
        <f t="shared" ref="BD51" si="1886">IF($E52="H",IF($F51="Hybrid - Thrust + 2 connections","Data!$BI$1:$BI$5","HybridDD_Code"),IF($E52=3,"Data!$BI$1:$BI$5",IF(LEFT($F51,4)="Acro",CONCATENATE(BD$16,$E52,"_Code"),IF($E52="PA","","Data!$BI$1:$BI$5"))))</f>
        <v>Data!$BI$1:$BI$5</v>
      </c>
      <c r="BE51" s="110" t="str">
        <f t="shared" ref="BE51" si="1887">IF($E52="H",IF($F51="Hybrid - Thrust + 2 connections","Data!$BI$1:$BI$5","HybridDD_Code"),"Data!$BI$1:$BI$5")</f>
        <v>Data!$BI$1:$BI$5</v>
      </c>
      <c r="BF51" s="110" t="str">
        <f t="shared" si="1762"/>
        <v>Data!$BI$1:$BI$5</v>
      </c>
      <c r="BG51" s="110" t="str">
        <f t="shared" si="1762"/>
        <v>Data!$BI$1:$BI$5</v>
      </c>
      <c r="BH51" s="110" t="str">
        <f t="shared" si="1762"/>
        <v>Data!$BI$1:$BI$5</v>
      </c>
      <c r="BI51" s="110" t="str">
        <f t="shared" si="1762"/>
        <v>Data!$BI$1:$BI$5</v>
      </c>
      <c r="BJ51" s="110" t="str">
        <f t="shared" si="1762"/>
        <v>Data!$BI$1:$BI$5</v>
      </c>
      <c r="BK51" s="110" t="str">
        <f t="shared" si="1762"/>
        <v>Data!$BI$1:$BI$5</v>
      </c>
      <c r="BL51" s="110" t="str">
        <f t="shared" si="1762"/>
        <v>Data!$BI$1:$BI$5</v>
      </c>
      <c r="BM51" s="110" t="str">
        <f t="shared" si="1762"/>
        <v>Data!$BI$1:$BI$5</v>
      </c>
      <c r="BN51" s="110" t="str">
        <f t="shared" si="1762"/>
        <v>Data!$BI$1:$BI$5</v>
      </c>
      <c r="BO51" s="110" t="str">
        <f t="shared" si="1762"/>
        <v>Data!$BI$1:$BI$5</v>
      </c>
      <c r="BP51" s="110"/>
      <c r="BQ51" s="110"/>
      <c r="BR51" s="113" t="str">
        <f t="shared" ref="BR51" si="1888">IFERROR(TIME(0,A51,B51),"")</f>
        <v/>
      </c>
      <c r="BS51" s="114">
        <f>IFERROR(TIME(0,C51,D51),"")</f>
        <v>0</v>
      </c>
      <c r="BT51" s="114" t="str">
        <f t="shared" ref="BT51" si="1889">IF(BS51&gt;$D$12,"X","")</f>
        <v/>
      </c>
      <c r="BU51" s="108" t="str">
        <f>IF(AND(F51="Hybrid - Thrust + 2 connections",OR(LEFT(J51,1)="T",LEFT(K51,1)="T",LEFT(L51,1)="T",LEFT(NG51,1)="T",LEFT(M51,1)="T",LEFT(N51,1)="T",LEFT(O51,1)="T",LEFT(P51,1)="T",LEFT(Q51,1)="T",LEFT(R51,1)="T",LEFT(S51,1)="T",LEFT(T51,1)="T",LEFT(U51,1)="T",LEFT(V51,1)="T",LEFT(W51,1)="T",LEFT(X51,1)="T",LEFT(AA51,1)="T",LEFT(AB51,1)="T",LEFT(AC51,1)="T")),IF(OR(LEN(J51)=2,LEN(K51)=2,LEN(L51)=2,LEN(M51)=2,LEN(N51)=2,LEN(O51)=2,LEN(P51)=2,LEN(Q51)=2,LEN(R51)=2,LEN(S51)=2,LEN(T51)=2,LEN(U51)=2,LEN(V51)=2,LEN(W51)=2,LEN(X51)=2,LEN(Y51)=2,LEN(Z51)=2,LEN(AA51)=2,LEN(AB51)=2,LEN(AC51)=2),"X",""),"")</f>
        <v/>
      </c>
      <c r="BV51" s="111" t="str">
        <f>IF(F51="Hybrid",SECOND(BS51),"")</f>
        <v/>
      </c>
      <c r="BW51" s="108" t="str">
        <f>IF(LEFT(F51,4)="Acro",IF(AND(N51&lt;&gt;"",M51=RIGHT(N51,2)),"X","OK"),"")</f>
        <v/>
      </c>
      <c r="BX51" s="110" t="str">
        <f t="shared" ref="BX51:CE51" si="1890">IFERROR(IF(AND(LEFT($F51,4)="Acro",INDEX(Requ_App,MATCH(AV51,Requ_Code,0))="No"),"X",""),"")</f>
        <v/>
      </c>
      <c r="BY51" s="110" t="str">
        <f t="shared" si="1890"/>
        <v/>
      </c>
      <c r="BZ51" s="110" t="str">
        <f t="shared" si="1890"/>
        <v/>
      </c>
      <c r="CA51" s="110" t="str">
        <f t="shared" si="1890"/>
        <v/>
      </c>
      <c r="CB51" s="110" t="str">
        <f t="shared" si="1890"/>
        <v/>
      </c>
      <c r="CC51" s="110" t="str">
        <f t="shared" si="1890"/>
        <v/>
      </c>
      <c r="CD51" s="110" t="str">
        <f t="shared" si="1890"/>
        <v/>
      </c>
      <c r="CE51" s="110" t="str">
        <f t="shared" si="1890"/>
        <v/>
      </c>
      <c r="CF51" s="110" t="str">
        <f>IFERROR(IF(AND(LEFT($F51,4)="Acro",INDEX(Requ_App,MATCH(BC51,Requ_Code,0))="No"),"X",""),"")</f>
        <v/>
      </c>
      <c r="CG51" s="108" t="str">
        <f t="shared" ref="CG51:CG68" si="1891">IF(OR($E52="A",$E52="B",$E52="C",$E52="P"),"Z","")</f>
        <v/>
      </c>
      <c r="CH51" s="108" t="str">
        <f t="shared" ref="CH51:CH68" si="1892">IF(OR($E52="B",$E52="P"),"Z","")</f>
        <v/>
      </c>
      <c r="CI51" s="108" t="str">
        <f t="shared" ref="CI51:CI68" si="1893">IF(OR($E52="A",$E52="C"),"Z","")</f>
        <v/>
      </c>
      <c r="CJ51" s="108" t="str">
        <f t="shared" ref="CJ51:CJ68" si="1894">IF(OR($E52="A",$E52="B",$E52="C",$E52="P"),"Z","")</f>
        <v/>
      </c>
      <c r="CN51" s="108">
        <f t="shared" ref="CN51" si="1895">IF(AND(E52="A",OR(Q51="Grip",Q51="Conn",Q51="Catch")),"A1",IF(AND(E52="A",OR(Q51="Hula",Q51="RetSq",Q51="RetPa")),"A2",IF(AND(E52="B",OR(Q51="Twirl",Q51="RotF")),"B1",IF(AND(E52="B",OR(Q51="Moon",Q51="Mov")),"B2",IF(AND(E52="B",Q51="Hold"),"B3",IF(AND(E52="P",OR(Q51="Porp",Q51="Spitch")),"P1",IF(AND(E52="P",OR(Q51="Dive",Q51="Ps1",Q51="Ps1t0.5",Q51="Ps1op",Q51="Ps1t0,5o",Q51="Ps1t1",Q51="CH+")),"P2",IF(AND(E52="P",OR(Q51="Spider",Q51="Climb")),"P3",IF(AND(E52="P",OR(Q51="Fall",Q51="FTurn")),"P4",IF(AND(E52="C",OR(Q51="Jump",Q51="Jump&gt;",Q51="On1Foot",Q51="1F&gt;1F")),"C1",IF(AND(E52="C",OR(Q51="Run",Q51="BRun")),"C2",1)))))))))))</f>
        <v>1</v>
      </c>
      <c r="CO51" s="108">
        <f t="shared" ref="CO51" si="1896">IF(AND(E52="A",OR(R51="Grip",R51="Conn",R51="Catch")),"A1",IF(AND(E52="A",OR(R51="Hula",R51="RetSq",R51="RetPa")),"A2",IF(AND(E52="B",OR(R51="Twirl",R51="RotF")),"B1",IF(AND(E52="B",OR(R51="Moon",R51="Mov")),"B3",IF(AND(E52="B",R51="Hold"),"B2",IF(AND(E52="P",OR(R51="Porp",R51="Spitch")),"P1",IF(AND(E52="P",OR(R51="Dive",R51="Ps1",R51="Ps1t0.5",R51="Ps1op",R51="Ps1t0,5o",R51="Ps1t1",R51="CH+")),"P2",IF(AND(E52="P",OR(R51="Spider",R51="Climb")),"P3",IF(AND(E52="P",OR(R51="Fall",R51="FTurn")),"P4",IF(AND(E52="C",OR(R51="Jump",R51="Jump&gt;",R51="On1Foot",R51="1F&gt;1F")),"C1",IF(AND(E52="C",OR(R51="Run",R51="BRun")),"C2",2)))))))))))</f>
        <v>2</v>
      </c>
      <c r="CP51" s="108" t="str">
        <f t="shared" ref="CP51" si="1897">IF(AND(LEFT(F51,4)="Acro",Q51&lt;&gt;"",OR(Q51=R51,CN51=CO51)),IF(R51="C-Roll","","X"),IF(OR(AND(E52="A",Q51="Catch",R51&lt;&gt;"Dbl"),AND(E52="A",R51="Catch",Q51&lt;&gt;"Dbl")),"X",""))</f>
        <v/>
      </c>
      <c r="CQ51" s="108" t="str">
        <f t="shared" ref="CQ51" si="1898">IF(E52="PA",J51,"")</f>
        <v/>
      </c>
      <c r="CR51" s="108">
        <v>33</v>
      </c>
      <c r="CT51" s="108" t="str">
        <f t="shared" ref="CT51" si="1899">IF(AND($E52="A",COUNTIF($DC$19:$DD$68,DC51)&gt;1),DC51,"")</f>
        <v/>
      </c>
      <c r="CU51" s="108" t="str">
        <f t="shared" ref="CU51" si="1900">IF(AND($E52="A",COUNTIF($DC$19:$DD$68,DD51)&gt;1),DD51,"")</f>
        <v/>
      </c>
      <c r="CV51" s="108" t="str">
        <f t="shared" ref="CV51" ca="1" si="1901">IF(AND($E52="B",COUNTIF($J$19:$J$68,J51)&gt;1),J51,"")</f>
        <v/>
      </c>
      <c r="CW51" s="108" t="str">
        <f t="shared" ref="CW51" ca="1" si="1902">IF(AND($E52="B",COUNTIF($K$19:$K$68,K51)&gt;1),K51,"")</f>
        <v/>
      </c>
      <c r="CX51" s="108" t="str">
        <f t="shared" ref="CX51" ca="1" si="1903">IF(AND($E52="C",COUNTIF($J$19:$J$68,J51)&gt;1),J51,"")</f>
        <v/>
      </c>
      <c r="CY51" s="108" t="str">
        <f t="shared" ref="CY51" ca="1" si="1904">IF(AND($E52="P",COUNTIF($J$19:$J$68,J51)&gt;1),J51,"")</f>
        <v/>
      </c>
      <c r="CZ51" s="108" t="str">
        <f t="shared" ref="CZ51" ca="1" si="1905">IF(AND($E52="P",COUNTIF($K$19:$K$68,K51)&gt;1),K51,"")</f>
        <v/>
      </c>
      <c r="DA51" s="108" t="str">
        <f t="shared" ref="DA51" si="1906">IF(AND($E52="P",COUNTIF($DC$19:$DD$68,DC51)&gt;1),DC51,"")</f>
        <v/>
      </c>
      <c r="DB51" s="108" t="str">
        <f t="shared" ref="DB51" si="1907">IF(AND($E52="P",COUNTIF($DC$19:$DD$68,DD51)&gt;1),DD51,"")</f>
        <v/>
      </c>
      <c r="DC51" s="108" t="str">
        <f t="shared" ref="DC51" si="1908">IFERROR(IF(OR(E52="A",E52="P"),M51,""),"")</f>
        <v/>
      </c>
      <c r="DD51" s="108" t="str">
        <f t="shared" ref="DD51" si="1909">IFERROR(IF(OR(E52="A",E52="P"),RIGHT(N51,2),""),"")</f>
        <v/>
      </c>
      <c r="DF51" s="108" t="str">
        <f t="shared" ref="DF51" si="1910">IF(AND($F$8="Open Team Acrobatic",LEFT(F51,4)="Acro"),E52,"")</f>
        <v/>
      </c>
      <c r="DG51" s="108" t="str">
        <f t="shared" ref="DG51" si="1911">IFERROR(IF(HLOOKUP(DF51,$DD$12:$DG$13,2,FALSE)&gt;2,"X",""),"")</f>
        <v/>
      </c>
      <c r="DI51" s="108" t="str">
        <f t="shared" ref="DI51" si="1912">IF(OR(AND(F51="Hybrid - Thrust + 2 connections",DI52="T"),AND(F51="Hybrid - Free",DI52&lt;&gt;"")),"X","")</f>
        <v/>
      </c>
      <c r="DK51" s="108">
        <f t="shared" ref="DK51" si="1913">IFERROR(IF(AND($E52="H",J51&lt;&gt;""),IF(OR(LEFT(J51,1)="T",LEFT(J51,1)="S",LEFT(J51,1)="A",LEFT(J51,1)="F",LEFT(J51,1)="C"),LEFT(J51,1),"R"),DK$18),"")</f>
        <v>1</v>
      </c>
      <c r="DL51" s="108">
        <f t="shared" ref="DL51" si="1914">IFERROR(IF(AND($E52="H",K51&lt;&gt;""),IF(OR(LEFT(K51,1)="T",LEFT(K51,1)="S",LEFT(K51,1)="A",LEFT(K51,1)="F",LEFT(K51,1)="C"),LEFT(K51,1),"R"),DL$18),"")</f>
        <v>2</v>
      </c>
      <c r="DM51" s="108">
        <f t="shared" ref="DM51" si="1915">IFERROR(IF(AND($E52="H",L51&lt;&gt;""),IF(OR(LEFT(L51,1)="T",LEFT(L51,1)="S",LEFT(L51,1)="A",LEFT(L51,1)="F",LEFT(L51,1)="C"),LEFT(L51,1),"R"),DM$18),"")</f>
        <v>3</v>
      </c>
      <c r="DN51" s="108">
        <f t="shared" ref="DN51" si="1916">IFERROR(IF(AND($E52="H",M51&lt;&gt;""),IF(OR(LEFT(M51,1)="T",LEFT(M51,1)="S",LEFT(M51,1)="A",LEFT(M51,1)="F",LEFT(M51,1)="C"),LEFT(M51,1),"R"),DN$18),"")</f>
        <v>4</v>
      </c>
      <c r="DO51" s="108">
        <f t="shared" ref="DO51" si="1917">IFERROR(IF(AND($E52="H",N51&lt;&gt;""),IF(OR(LEFT(N51,1)="T",LEFT(N51,1)="S",LEFT(N51,1)="A",LEFT(N51,1)="F",LEFT(N51,1)="C"),LEFT(N51,1),"R"),DO$18),"")</f>
        <v>5</v>
      </c>
      <c r="DP51" s="108">
        <f t="shared" ref="DP51" si="1918">IFERROR(IF(AND($E52="H",O51&lt;&gt;""),IF(OR(LEFT(O51,1)="T",LEFT(O51,1)="S",LEFT(O51,1)="A",LEFT(O51,1)="F",LEFT(O51,1)="C"),LEFT(O51,1),"R"),DP$18),"")</f>
        <v>6</v>
      </c>
      <c r="DQ51" s="108">
        <f t="shared" ref="DQ51" si="1919">IFERROR(IF(AND($E52="H",P51&lt;&gt;""),IF(OR(LEFT(P51,1)="T",LEFT(P51,1)="S",LEFT(P51,1)="A",LEFT(P51,1)="F",LEFT(P51,1)="C"),LEFT(P51,1),"R"),DQ$18),"")</f>
        <v>7</v>
      </c>
      <c r="DR51" s="108">
        <f t="shared" ref="DR51" si="1920">IFERROR(IF(AND($E52="H",Q51&lt;&gt;""),IF(OR(LEFT(Q51,1)="T",LEFT(Q51,1)="S",LEFT(Q51,1)="A",LEFT(Q51,1)="F",LEFT(Q51,1)="C"),LEFT(Q51,1),"R"),DR$18),"")</f>
        <v>8</v>
      </c>
      <c r="DS51" s="108">
        <f t="shared" ref="DS51" si="1921">IFERROR(IF(AND($E52="H",R51&lt;&gt;""),IF(OR(LEFT(R51,1)="T",LEFT(R51,1)="S",LEFT(R51,1)="A",LEFT(R51,1)="F",LEFT(R51,1)="C"),LEFT(R51,1),"R"),DS$18),"")</f>
        <v>9</v>
      </c>
      <c r="DT51" s="108">
        <f t="shared" ref="DT51" si="1922">IFERROR(IF(AND($E52="H",S51&lt;&gt;""),IF(OR(LEFT(S51,1)="T",LEFT(S51,1)="S",LEFT(S51,1)="A",LEFT(S51,1)="F",LEFT(S51,1)="C"),LEFT(S51,1),"R"),DT$18),"")</f>
        <v>10</v>
      </c>
      <c r="DU51" s="108">
        <f t="shared" ref="DU51" si="1923">IFERROR(IF(AND($E52="H",T51&lt;&gt;""),IF(OR(LEFT(T51,1)="T",LEFT(T51,1)="S",LEFT(T51,1)="A",LEFT(T51,1)="F",LEFT(T51,1)="C"),LEFT(T51,1),"R"),DU$18),"")</f>
        <v>11</v>
      </c>
      <c r="DV51" s="108">
        <f t="shared" ref="DV51" si="1924">IFERROR(IF(AND($E52="H",U51&lt;&gt;""),IF(OR(LEFT(U51,1)="T",LEFT(U51,1)="S",LEFT(U51,1)="A",LEFT(U51,1)="F",LEFT(U51,1)="C"),LEFT(U51,1),"R"),DV$18),"")</f>
        <v>12</v>
      </c>
      <c r="DW51" s="108">
        <f t="shared" ref="DW51" si="1925">IFERROR(IF(AND($E52="H",V51&lt;&gt;""),IF(OR(LEFT(V51,1)="T",LEFT(V51,1)="S",LEFT(V51,1)="A",LEFT(V51,1)="F",LEFT(V51,1)="C"),LEFT(V51,1),"R"),DW$18),"")</f>
        <v>13</v>
      </c>
      <c r="DX51" s="108">
        <f t="shared" ref="DX51" si="1926">IFERROR(IF(AND($E52="H",W51&lt;&gt;""),IF(OR(LEFT(W51,1)="T",LEFT(W51,1)="S",LEFT(W51,1)="A",LEFT(W51,1)="F",LEFT(W51,1)="C"),LEFT(W51,1),"R"),DX$18),"")</f>
        <v>14</v>
      </c>
      <c r="DY51" s="108">
        <f t="shared" ref="DY51" si="1927">IFERROR(IF(AND($E52="H",X51&lt;&gt;""),IF(OR(LEFT(X51,1)="T",LEFT(X51,1)="S",LEFT(X51,1)="A",LEFT(X51,1)="F",LEFT(X51,1)="C"),LEFT(X51,1),"R"),DY$18),"")</f>
        <v>15</v>
      </c>
      <c r="DZ51" s="108">
        <f t="shared" ref="DZ51" si="1928">IFERROR(IF(AND($E52="H",Y51&lt;&gt;""),IF(OR(LEFT(Y51,1)="T",LEFT(Y51,1)="S",LEFT(Y51,1)="A",LEFT(Y51,1)="F",LEFT(Y51,1)="C"),LEFT(Y51,1),"R"),DZ$18),"")</f>
        <v>16</v>
      </c>
      <c r="EA51" s="108">
        <f t="shared" ref="EA51" si="1929">IFERROR(IF(AND($E52="H",Z51&lt;&gt;""),IF(OR(LEFT(Z51,1)="T",LEFT(Z51,1)="S",LEFT(Z51,1)="A",LEFT(Z51,1)="F",LEFT(Z51,1)="C"),LEFT(Z51,1),"R"),EA$18),"")</f>
        <v>17</v>
      </c>
      <c r="EB51" s="108">
        <f t="shared" ref="EB51" si="1930">IFERROR(IF(AND($E52="H",AA51&lt;&gt;""),IF(OR(LEFT(AA51,1)="T",LEFT(AA51,1)="S",LEFT(AA51,1)="A",LEFT(AA51,1)="F",LEFT(AA51,1)="C"),LEFT(AA51,1),"R"),EB$18),"")</f>
        <v>18</v>
      </c>
      <c r="EC51" s="108">
        <f t="shared" ref="EC51" si="1931">IFERROR(IF(AND($E52="H",AB51&lt;&gt;""),IF(OR(LEFT(AB51,1)="T",LEFT(AB51,1)="S",LEFT(AB51,1)="A",LEFT(AB51,1)="F",LEFT(AB51,1)="C"),LEFT(AB51,1),"R"),EC$18),"")</f>
        <v>19</v>
      </c>
      <c r="ED51" s="108">
        <f t="shared" ref="ED51" si="1932">IFERROR(IF(AND($E52="H",AC51&lt;&gt;""),IF(OR(LEFT(AC51,1)="T",LEFT(AC51,1)="S",LEFT(AC51,1)="A",LEFT(AC51,1)="F",LEFT(AC51,1)="C"),LEFT(AC51,1),"R"),ED$18),"")</f>
        <v>20</v>
      </c>
      <c r="EE51" s="108"/>
      <c r="EF51" s="108"/>
      <c r="EG51" s="108">
        <f t="shared" ref="EG51:EZ51" si="1933">IFERROR(IF(J51&lt;&gt;"",UPPER(J51),EG$18),EG$18)</f>
        <v>1</v>
      </c>
      <c r="EH51" s="108">
        <f t="shared" si="1933"/>
        <v>2</v>
      </c>
      <c r="EI51" s="108">
        <f t="shared" si="1933"/>
        <v>3</v>
      </c>
      <c r="EJ51" s="108">
        <f t="shared" si="1933"/>
        <v>4</v>
      </c>
      <c r="EK51" s="108">
        <f t="shared" si="1933"/>
        <v>5</v>
      </c>
      <c r="EL51" s="108">
        <f t="shared" si="1933"/>
        <v>6</v>
      </c>
      <c r="EM51" s="108">
        <f t="shared" si="1933"/>
        <v>7</v>
      </c>
      <c r="EN51" s="108">
        <f t="shared" si="1933"/>
        <v>8</v>
      </c>
      <c r="EO51" s="108">
        <f t="shared" si="1933"/>
        <v>9</v>
      </c>
      <c r="EP51" s="108">
        <f t="shared" si="1933"/>
        <v>10</v>
      </c>
      <c r="EQ51" s="108">
        <f t="shared" si="1933"/>
        <v>11</v>
      </c>
      <c r="ER51" s="108">
        <f t="shared" si="1933"/>
        <v>12</v>
      </c>
      <c r="ES51" s="108">
        <f t="shared" si="1933"/>
        <v>13</v>
      </c>
      <c r="ET51" s="108">
        <f t="shared" si="1933"/>
        <v>14</v>
      </c>
      <c r="EU51" s="108">
        <f t="shared" si="1933"/>
        <v>15</v>
      </c>
      <c r="EV51" s="108">
        <f t="shared" si="1933"/>
        <v>16</v>
      </c>
      <c r="EW51" s="108">
        <f t="shared" si="1933"/>
        <v>17</v>
      </c>
      <c r="EX51" s="108">
        <f t="shared" si="1933"/>
        <v>18</v>
      </c>
      <c r="EY51" s="108">
        <f t="shared" si="1933"/>
        <v>19</v>
      </c>
      <c r="EZ51" s="108">
        <f t="shared" si="1933"/>
        <v>20</v>
      </c>
      <c r="FA51" s="108"/>
      <c r="FB51" s="108">
        <f t="shared" ref="FB51" si="1934">COUNTIF($DK51:$ED51,FB$18)</f>
        <v>0</v>
      </c>
      <c r="FC51" s="108">
        <f t="shared" si="934"/>
        <v>0</v>
      </c>
      <c r="FD51" s="108">
        <f t="shared" si="934"/>
        <v>0</v>
      </c>
      <c r="FE51" s="108">
        <f t="shared" si="934"/>
        <v>0</v>
      </c>
      <c r="FF51" s="108">
        <f t="shared" si="934"/>
        <v>0</v>
      </c>
      <c r="FG51" s="108">
        <f t="shared" si="934"/>
        <v>0</v>
      </c>
      <c r="FH51" s="108"/>
      <c r="FI51" s="108" t="str">
        <f t="shared" ref="FI51" si="1935">IF(AND($F51="Hybrid - Thrust + 2 connections",FI52=0,LEFT($J51,1)="C",LEFT($K51,1)="C",LEFT($L51,1)="C"),"X","")</f>
        <v/>
      </c>
      <c r="FJ51" s="108"/>
      <c r="FL51" s="120" t="e">
        <f>IF(OR(LEFT(#REF!,2)="PL",LEFT(#REF!,2)="PL",LEFT(#REF!,2)="PL",LEFT(#REF!,2)="PL",LEFT(#REF!,2)="PL"),IF($BS$17-BR51&gt;$FL$17,"X",""),"")</f>
        <v>#REF!</v>
      </c>
      <c r="FM51" s="120"/>
      <c r="FN51" s="111" t="str">
        <f>IF(E52=3,_xlfn.NUMBERVALUE(LEFT(J51,1)),"")</f>
        <v/>
      </c>
    </row>
    <row r="52" spans="1:170" x14ac:dyDescent="0.3">
      <c r="A52" s="40"/>
      <c r="B52" s="41"/>
      <c r="C52" s="41"/>
      <c r="D52" s="41"/>
      <c r="E52" s="21" t="str">
        <f t="shared" ref="E52" si="1936">IF(F51="Acrobatic - Pair","PA",IF(F51="Acrobatic Airborn","A",IF(F51="Acrobatic Balance","B",IF(F51="Acrobatic Combined","C",IF(F51="Acrobatic Platform","P",IF(F51="Technical Required Element",3,IF(LEFT(F51,4)="Hybr","H","")))))))</f>
        <v/>
      </c>
      <c r="F52" s="21" t="str">
        <f t="shared" ref="F52" si="1937">IF(AND(F51="Hybrid - Thrust + 2 connections",BU51="X"),"Hybrid - Thrust",IF(OR(E52="A",E52="B",E52="C",E52="P"),"Acrobatic",""))</f>
        <v/>
      </c>
      <c r="G52" s="43"/>
      <c r="H52" s="222" t="str">
        <f t="shared" ref="H52" si="1938">IF(E52="PA",IF(OR(LEFT(J51,1)="L",LEFT(J51,1)="S"),"A-Pair-Lift",IF(OR(LEFT(J51,1)="W",LEFT(J51,1)="T"),"A-Pair-Throw",IF(LEFT(J51,1)="J","A-Pair-Jump","A-Pair"))),IF(OR(E52="A",E52="B",E52="C",E52="P"),CONCATENATE("Acro-",E52),""))</f>
        <v/>
      </c>
      <c r="I52" s="216" t="e">
        <f t="shared" ref="I52" si="1939">IF(OR(F51="Hybrid - min 4 swimmers (no DD)",LEFT(F51,5)="Trans"),0,INDEX($BV$3:$BV$9,MATCH(E52,$BU$3:$BU$9,0)))</f>
        <v>#N/A</v>
      </c>
      <c r="J52" s="210">
        <f t="shared" ref="J52" ca="1" si="1940">IFERROR(IF($H51="No DD",0,IF(OR(ISBLANK(J51),J51="N/A"),0,INDEX(INDIRECT(AV52),MATCH(J51,INDIRECT(AV51),0)))),0)</f>
        <v>0</v>
      </c>
      <c r="K52" s="210">
        <f t="shared" ref="K52" ca="1" si="1941">IFERROR(IF($H51="No DD",0,IF(OR(ISBLANK(K51),K51="N/A"),0,INDEX(INDIRECT(AW52),MATCH(K51,INDIRECT(AW51),0)))),0)</f>
        <v>0</v>
      </c>
      <c r="L52" s="210">
        <f t="shared" ref="L52" ca="1" si="1942">IFERROR(IF($H51="No DD",0,IF(OR(ISBLANK(L51),L51="N/A"),0,INDEX(INDIRECT(AX52),MATCH(L51,INDIRECT(AX51),0)))),0)</f>
        <v>0</v>
      </c>
      <c r="M52" s="210">
        <f t="shared" ref="M52" ca="1" si="1943">IFERROR(IF($H51="No DD",0,IF(OR(ISBLANK(M51),M51="N/A"),0,INDEX(INDIRECT(AY52),MATCH(M51,INDIRECT(AY51),0)))),0)</f>
        <v>0</v>
      </c>
      <c r="N52" s="210">
        <f t="shared" ref="N52" ca="1" si="1944">IFERROR(IF($H51="No DD",0,IF(OR(ISBLANK(N51),N51="N/A"),0,INDEX(INDIRECT(AZ52),MATCH(N51,INDIRECT(AZ51),0)))),0)</f>
        <v>0</v>
      </c>
      <c r="O52" s="210">
        <f t="shared" ref="O52" ca="1" si="1945">IFERROR(IF($H51="No DD",0,IF(OR(ISBLANK(O51),O51="N/A"),0,INDEX(INDIRECT(BA52),MATCH(O51,INDIRECT(BA51),0)))),0)</f>
        <v>0</v>
      </c>
      <c r="P52" s="210">
        <f t="shared" ref="P52" ca="1" si="1946">IFERROR(IF($H51="No DD",0,IF(OR(ISBLANK(P51),P51="N/A"),0,INDEX(INDIRECT(BB52),MATCH(P51,INDIRECT(BB51),0)))),0)</f>
        <v>0</v>
      </c>
      <c r="Q52" s="210">
        <f t="shared" ref="Q52" ca="1" si="1947">IFERROR(IF($H51="No DD",0,IF(OR(ISBLANK(Q51),Q51="N/A"),0,INDEX(INDIRECT(BC52),MATCH(Q51,INDIRECT(BC51),0)))),0)</f>
        <v>0</v>
      </c>
      <c r="R52" s="210">
        <f t="shared" ref="R52" ca="1" si="1948">IFERROR(IF($H51="No DD",0,IF(OR(ISBLANK(R51),R51="N/A"),0,INDEX(INDIRECT(BD52),MATCH(R51,INDIRECT(BD51),0)))),0)</f>
        <v>0</v>
      </c>
      <c r="S52" s="210">
        <f t="shared" ref="S52" ca="1" si="1949">IFERROR(IF($H51="No DD",0,IF(OR(ISBLANK(S51),S51="N/A"),0,INDEX(INDIRECT(BE52),MATCH(S51,INDIRECT(BE51),0)))),0)</f>
        <v>0</v>
      </c>
      <c r="T52" s="210">
        <f t="shared" ref="T52" ca="1" si="1950">IFERROR(IF($H51="No DD",0,IF(OR(ISBLANK(T51),T51="N/A"),0,INDEX(INDIRECT(BF52),MATCH(T51,INDIRECT(BF51),0)))),0)</f>
        <v>0</v>
      </c>
      <c r="U52" s="210">
        <f t="shared" ref="U52" ca="1" si="1951">IFERROR(IF($H51="No DD",0,IF(OR(ISBLANK(U51),U51="N/A"),0,INDEX(INDIRECT(BG52),MATCH(U51,INDIRECT(BG51),0)))),0)</f>
        <v>0</v>
      </c>
      <c r="V52" s="210">
        <f t="shared" ref="V52" ca="1" si="1952">IFERROR(IF($H51="No DD",0,IF(OR(ISBLANK(V51),V51="N/A"),0,INDEX(INDIRECT(BH52),MATCH(V51,INDIRECT(BH51),0)))),0)</f>
        <v>0</v>
      </c>
      <c r="W52" s="210">
        <f t="shared" ref="W52" ca="1" si="1953">IFERROR(IF($H51="No DD",0,IF(OR(ISBLANK(W51),W51="N/A"),0,INDEX(INDIRECT(BI52),MATCH(W51,INDIRECT(BI51),0)))),0)</f>
        <v>0</v>
      </c>
      <c r="X52" s="210">
        <f t="shared" ref="X52" ca="1" si="1954">IFERROR(IF($H51="No DD",0,IF(OR(ISBLANK(X51),X51="N/A"),0,INDEX(INDIRECT(BJ52),MATCH(X51,INDIRECT(BJ51),0)))),0)</f>
        <v>0</v>
      </c>
      <c r="Y52" s="210">
        <f t="shared" ref="Y52" ca="1" si="1955">IFERROR(IF($H51="No DD",0,IF(OR(ISBLANK(Y51),Y51="N/A"),0,INDEX(INDIRECT(BK52),MATCH(Y51,INDIRECT(BK51),0)))),0)</f>
        <v>0</v>
      </c>
      <c r="Z52" s="210">
        <f t="shared" ref="Z52" ca="1" si="1956">IFERROR(IF($H51="No DD",0,IF(OR(ISBLANK(Z51),Z51="N/A"),0,INDEX(INDIRECT(BL52),MATCH(Z51,INDIRECT(BL51),0)))),0)</f>
        <v>0</v>
      </c>
      <c r="AA52" s="210">
        <f t="shared" ref="AA52" ca="1" si="1957">IFERROR(IF($H51="No DD",0,IF(OR(ISBLANK(AA51),AA51="N/A"),0,INDEX(INDIRECT(BM52),MATCH(AA51,INDIRECT(BM51),0)))),0)</f>
        <v>0</v>
      </c>
      <c r="AB52" s="210">
        <f t="shared" ref="AB52" ca="1" si="1958">IFERROR(IF($H51="No DD",0,IF(OR(ISBLANK(AB51),AB51="N/A"),0,INDEX(INDIRECT(BN52),MATCH(AB51,INDIRECT(BN51),0)))),0)</f>
        <v>0</v>
      </c>
      <c r="AC52" s="210">
        <f t="shared" ref="AC52" ca="1" si="1959">IFERROR(IF($H51="No DD",0,IF(OR(ISBLANK(AC51),AC51="N/A"),0,INDEX(INDIRECT(BO52),MATCH(AC51,INDIRECT(BO51),0)))),0)</f>
        <v>0</v>
      </c>
      <c r="AD52" s="211" t="str">
        <f>IFERROR(IF(E52="H",INDEX(HybridBonus_Value,MATCH(AD51,HybridBonus_Code,0)),""),"")</f>
        <v/>
      </c>
      <c r="AE52" s="209" t="str">
        <f t="shared" ref="AE52" si="1960">IFERROR(IF(J51&lt;&gt;"",SUM(I52:AD52),""),"")</f>
        <v/>
      </c>
      <c r="AF52" s="76"/>
      <c r="AG52" s="76"/>
      <c r="AH52" s="121"/>
      <c r="AI52" s="121"/>
      <c r="AJ52" s="121"/>
      <c r="AK52" s="121"/>
      <c r="AL52" s="121"/>
      <c r="AM52" s="121"/>
      <c r="AN52" s="121"/>
      <c r="AO52" s="121"/>
      <c r="AP52" s="121"/>
      <c r="AQ52" s="121"/>
      <c r="AR52" s="121"/>
      <c r="AS52" s="121"/>
      <c r="AT52" s="110"/>
      <c r="AU52" s="121"/>
      <c r="AV52" s="111" t="str">
        <f t="shared" ref="AV52" si="1961">IF($E52="H","HybridDD_Value",IF($E52=3,"TreDD_Value",IF($E52="PA","AcroPair_Value",IF(LEFT($F51,4)="Acro",CONCATENATE(AV$16,$E52,"_Value"),""))))</f>
        <v/>
      </c>
      <c r="AW52" s="111" t="str">
        <f t="shared" ref="AW52:AX52" si="1962">IF($E52="H","HybridDD_Value",IF($E52=3,"",IF(LEFT($F51,4)="Acro",CONCATENATE(AW$16,$E52,"_Value"),IF($E52="PA","",""))))</f>
        <v/>
      </c>
      <c r="AX52" s="111" t="str">
        <f t="shared" si="1962"/>
        <v/>
      </c>
      <c r="AY52" s="111" t="str">
        <f t="shared" ref="AY52:BD52" si="1963">IF($E52="H","HybridDD_Value",IF($E52=3,"",IF(LEFT($F51,4)="Acro",CONCATENATE(AY$16,$E52,"_Value"),IF($E52="PA","",""))))</f>
        <v/>
      </c>
      <c r="AZ52" s="111" t="str">
        <f t="shared" si="1963"/>
        <v/>
      </c>
      <c r="BA52" s="111" t="str">
        <f t="shared" si="1963"/>
        <v/>
      </c>
      <c r="BB52" s="111" t="str">
        <f t="shared" si="1963"/>
        <v/>
      </c>
      <c r="BC52" s="111" t="str">
        <f t="shared" si="1963"/>
        <v/>
      </c>
      <c r="BD52" s="111" t="str">
        <f t="shared" si="1963"/>
        <v/>
      </c>
      <c r="BE52" s="110" t="str">
        <f t="shared" ref="BE52" si="1964">IF($E52="H","HybridDD_Value","Data!$BI$1:$BI$5")</f>
        <v>Data!$BI$1:$BI$5</v>
      </c>
      <c r="BF52" s="110" t="str">
        <f t="shared" si="1762"/>
        <v>Data!$BI$1:$BI$5</v>
      </c>
      <c r="BG52" s="110" t="str">
        <f t="shared" si="1762"/>
        <v>Data!$BI$1:$BI$5</v>
      </c>
      <c r="BH52" s="110" t="str">
        <f t="shared" si="1762"/>
        <v>Data!$BI$1:$BI$5</v>
      </c>
      <c r="BI52" s="110" t="str">
        <f t="shared" si="1762"/>
        <v>Data!$BI$1:$BI$5</v>
      </c>
      <c r="BJ52" s="110" t="str">
        <f t="shared" si="1762"/>
        <v>Data!$BI$1:$BI$5</v>
      </c>
      <c r="BK52" s="110" t="str">
        <f t="shared" si="1762"/>
        <v>Data!$BI$1:$BI$5</v>
      </c>
      <c r="BL52" s="110" t="str">
        <f t="shared" si="1762"/>
        <v>Data!$BI$1:$BI$5</v>
      </c>
      <c r="BM52" s="110" t="str">
        <f t="shared" si="1762"/>
        <v>Data!$BI$1:$BI$5</v>
      </c>
      <c r="BN52" s="110" t="str">
        <f t="shared" si="1762"/>
        <v>Data!$BI$1:$BI$5</v>
      </c>
      <c r="BO52" s="110" t="str">
        <f t="shared" si="1762"/>
        <v>Data!$BI$1:$BI$5</v>
      </c>
      <c r="BP52" s="121"/>
      <c r="BQ52" s="121"/>
      <c r="BR52" s="122" t="str">
        <f>IFERROR(IF(AND($BS$6="T",$BS$8="T",LEFT(F51,4)="Acro",AE52&gt;3),"X",IF($N$7="X",IF(AND(E52="C",AE52&gt;$CA$6),"X",IF(AND(E52="A",AE52&gt;$CA$4),"X",IF(AND(E52="B",AE52&gt;$CA$5),"X",IF(AND(E52="P",AE52&gt;$CA$7),"X","")))),"")),"")</f>
        <v/>
      </c>
      <c r="BS52" s="114"/>
      <c r="BU52" s="108"/>
      <c r="CA52" s="111"/>
      <c r="CB52" s="111"/>
      <c r="CC52" s="111"/>
      <c r="CG52" s="108" t="str">
        <f t="shared" si="1891"/>
        <v/>
      </c>
      <c r="CH52" s="108" t="str">
        <f t="shared" si="1892"/>
        <v/>
      </c>
      <c r="CI52" s="108" t="str">
        <f t="shared" si="1893"/>
        <v/>
      </c>
      <c r="CJ52" s="108" t="str">
        <f t="shared" si="1894"/>
        <v/>
      </c>
      <c r="CR52" s="108">
        <v>34</v>
      </c>
      <c r="DI52" s="108" t="str" cm="1">
        <f t="array" ref="DI52">IFERROR(INDEX(DK52:ED52,MATCH(TRUE,INDEX((DK52:ED52&lt;&gt;""),),0)),"")</f>
        <v/>
      </c>
      <c r="DK52" s="108" t="str">
        <f t="shared" ref="DK52" si="1965">IF(F51="Hybrid - Thrust + 2 connections",IF(COUNTIF($DK51:$ED51,DK51)&gt;1,DK51,""),IF(COUNTIF($DK51:$ED51,DK51)&gt;5,DK51,""))</f>
        <v/>
      </c>
      <c r="DL52" s="108" t="str">
        <f t="shared" ref="DL52" si="1966">IF(G51="Hybrid - Thrust + 2 connections",IF(COUNTIF($DK51:$ED51,DL51)&gt;1,DL51,""),IF(COUNTIF($DK51:$ED51,DL51)&gt;5,DL51,""))</f>
        <v/>
      </c>
      <c r="DM52" s="108" t="str">
        <f t="shared" ref="DM52" si="1967">IF(H51="Hybrid - Thrust + 2 connections",IF(COUNTIF($DK51:$ED51,DM51)&gt;1,DM51,""),IF(COUNTIF($DK51:$ED51,DM51)&gt;5,DM51,""))</f>
        <v/>
      </c>
      <c r="DN52" s="108" t="str">
        <f t="shared" ref="DN52" si="1968">IF(I51="Hybrid - Thrust + 2 connections",IF(COUNTIF($DK51:$ED51,DN51)&gt;1,DN51,""),IF(COUNTIF($DK51:$ED51,DN51)&gt;5,DN51,""))</f>
        <v/>
      </c>
      <c r="DO52" s="108" t="str">
        <f t="shared" ref="DO52" si="1969">IF(J51="Hybrid - Thrust + 2 connections",IF(COUNTIF($DK51:$ED51,DO51)&gt;1,DO51,""),IF(COUNTIF($DK51:$ED51,DO51)&gt;5,DO51,""))</f>
        <v/>
      </c>
      <c r="DP52" s="108" t="str">
        <f t="shared" ref="DP52" si="1970">IF(K51="Hybrid - Thrust + 2 connections",IF(COUNTIF($DK51:$ED51,DP51)&gt;1,DP51,""),IF(COUNTIF($DK51:$ED51,DP51)&gt;5,DP51,""))</f>
        <v/>
      </c>
      <c r="DQ52" s="108" t="str">
        <f t="shared" ref="DQ52" si="1971">IF(L51="Hybrid - Thrust + 2 connections",IF(COUNTIF($DK51:$ED51,DQ51)&gt;1,DQ51,""),IF(COUNTIF($DK51:$ED51,DQ51)&gt;5,DQ51,""))</f>
        <v/>
      </c>
      <c r="DR52" s="108" t="str">
        <f t="shared" ref="DR52" si="1972">IF(M51="Hybrid - Thrust + 2 connections",IF(COUNTIF($DK51:$ED51,DR51)&gt;1,DR51,""),IF(COUNTIF($DK51:$ED51,DR51)&gt;5,DR51,""))</f>
        <v/>
      </c>
      <c r="DS52" s="108" t="str">
        <f t="shared" ref="DS52" si="1973">IF(N51="Hybrid - Thrust + 2 connections",IF(COUNTIF($DK51:$ED51,DS51)&gt;1,DS51,""),IF(COUNTIF($DK51:$ED51,DS51)&gt;5,DS51,""))</f>
        <v/>
      </c>
      <c r="DT52" s="108" t="str">
        <f t="shared" ref="DT52" si="1974">IF(O51="Hybrid - Thrust + 2 connections",IF(COUNTIF($DK51:$ED51,DT51)&gt;1,DT51,""),IF(COUNTIF($DK51:$ED51,DT51)&gt;5,DT51,""))</f>
        <v/>
      </c>
      <c r="DU52" s="108" t="str">
        <f t="shared" ref="DU52" si="1975">IF(P51="Hybrid - Thrust + 2 connections",IF(COUNTIF($DK51:$ED51,DU51)&gt;1,DU51,""),IF(COUNTIF($DK51:$ED51,DU51)&gt;5,DU51,""))</f>
        <v/>
      </c>
      <c r="DV52" s="108" t="str">
        <f t="shared" ref="DV52" si="1976">IF(Q51="Hybrid - Thrust + 2 connections",IF(COUNTIF($DK51:$ED51,DV51)&gt;1,DV51,""),IF(COUNTIF($DK51:$ED51,DV51)&gt;5,DV51,""))</f>
        <v/>
      </c>
      <c r="DW52" s="108" t="str">
        <f t="shared" ref="DW52" si="1977">IF(R51="Hybrid - Thrust + 2 connections",IF(COUNTIF($DK51:$ED51,DW51)&gt;1,DW51,""),IF(COUNTIF($DK51:$ED51,DW51)&gt;5,DW51,""))</f>
        <v/>
      </c>
      <c r="DX52" s="108" t="str">
        <f t="shared" ref="DX52" si="1978">IF(S51="Hybrid - Thrust + 2 connections",IF(COUNTIF($DK51:$ED51,DX51)&gt;1,DX51,""),IF(COUNTIF($DK51:$ED51,DX51)&gt;5,DX51,""))</f>
        <v/>
      </c>
      <c r="DY52" s="108" t="str">
        <f t="shared" ref="DY52" si="1979">IF(T51="Hybrid - Thrust + 2 connections",IF(COUNTIF($DK51:$ED51,DY51)&gt;1,DY51,""),IF(COUNTIF($DK51:$ED51,DY51)&gt;5,DY51,""))</f>
        <v/>
      </c>
      <c r="DZ52" s="108" t="str">
        <f t="shared" ref="DZ52" si="1980">IF(U51="Hybrid - Thrust + 2 connections",IF(COUNTIF($DK51:$ED51,DZ51)&gt;1,DZ51,""),IF(COUNTIF($DK51:$ED51,DZ51)&gt;5,DZ51,""))</f>
        <v/>
      </c>
      <c r="EA52" s="108" t="str">
        <f t="shared" ref="EA52" si="1981">IF(V51="Hybrid - Thrust + 2 connections",IF(COUNTIF($DK51:$ED51,EA51)&gt;1,EA51,""),IF(COUNTIF($DK51:$ED51,EA51)&gt;5,EA51,""))</f>
        <v/>
      </c>
      <c r="EB52" s="108" t="str">
        <f t="shared" ref="EB52" si="1982">IF(W51="Hybrid - Thrust + 2 connections",IF(COUNTIF($DK51:$ED51,EB51)&gt;1,EB51,""),IF(COUNTIF($DK51:$ED51,EB51)&gt;5,EB51,""))</f>
        <v/>
      </c>
      <c r="EC52" s="108" t="str">
        <f t="shared" ref="EC52" si="1983">IF(X51="Hybrid - Thrust + 2 connections",IF(COUNTIF($DK51:$ED51,EC51)&gt;1,EC51,""),IF(COUNTIF($DK51:$ED51,EC51)&gt;5,EC51,""))</f>
        <v/>
      </c>
      <c r="ED52" s="108" t="str">
        <f t="shared" ref="ED52" si="1984">IF(Y51="Hybrid - Thrust + 2 connections",IF(COUNTIF($DK51:$ED51,ED51)&gt;1,ED51,""),IF(COUNTIF($DK51:$ED51,ED51)&gt;5,ED51,""))</f>
        <v/>
      </c>
      <c r="EE52" s="108"/>
      <c r="EF52" s="108" t="str" cm="1">
        <f t="array" ref="EF52">IFERROR(INDEX(EG52:EZ52,MATCH(TRUE,INDEX((EG52:EZ52&lt;&gt;""),),0)),"")</f>
        <v/>
      </c>
      <c r="EG52" s="108" t="str">
        <f t="shared" ref="EG52" si="1985">IF(COUNTIF($EG51:$EZ51,EG51)&gt;3,EG51,"")</f>
        <v/>
      </c>
      <c r="EH52" s="108" t="str">
        <f t="shared" ref="EH52" si="1986">IF(COUNTIF($EG51:$EZ51,EH51)&gt;3,EH51,"")</f>
        <v/>
      </c>
      <c r="EI52" s="108" t="str">
        <f t="shared" ref="EI52" si="1987">IF(COUNTIF($EG51:$EZ51,EI51)&gt;3,EI51,"")</f>
        <v/>
      </c>
      <c r="EJ52" s="108" t="str">
        <f t="shared" ref="EJ52" si="1988">IF(COUNTIF($EG51:$EZ51,EJ51)&gt;3,EJ51,"")</f>
        <v/>
      </c>
      <c r="EK52" s="108" t="str">
        <f t="shared" ref="EK52" si="1989">IF(COUNTIF($EG51:$EZ51,EK51)&gt;3,EK51,"")</f>
        <v/>
      </c>
      <c r="EL52" s="108" t="str">
        <f t="shared" ref="EL52" si="1990">IF(COUNTIF($EG51:$EZ51,EL51)&gt;3,EL51,"")</f>
        <v/>
      </c>
      <c r="EM52" s="108" t="str">
        <f t="shared" ref="EM52" si="1991">IF(COUNTIF($EG51:$EZ51,EM51)&gt;3,EM51,"")</f>
        <v/>
      </c>
      <c r="EN52" s="108" t="str">
        <f t="shared" ref="EN52" si="1992">IF(COUNTIF($EG51:$EZ51,EN51)&gt;3,EN51,"")</f>
        <v/>
      </c>
      <c r="EO52" s="108" t="str">
        <f t="shared" ref="EO52" si="1993">IF(COUNTIF($EG51:$EZ51,EO51)&gt;3,EO51,"")</f>
        <v/>
      </c>
      <c r="EP52" s="108" t="str">
        <f t="shared" ref="EP52" si="1994">IF(COUNTIF($EG51:$EZ51,EP51)&gt;3,EP51,"")</f>
        <v/>
      </c>
      <c r="EQ52" s="108" t="str">
        <f t="shared" ref="EQ52" si="1995">IF(COUNTIF($EG51:$EZ51,EQ51)&gt;3,EQ51,"")</f>
        <v/>
      </c>
      <c r="ER52" s="108" t="str">
        <f t="shared" ref="ER52" si="1996">IF(COUNTIF($EG51:$EZ51,ER51)&gt;3,ER51,"")</f>
        <v/>
      </c>
      <c r="ES52" s="108" t="str">
        <f t="shared" ref="ES52" si="1997">IF(COUNTIF($EG51:$EZ51,ES51)&gt;3,ES51,"")</f>
        <v/>
      </c>
      <c r="ET52" s="108" t="str">
        <f t="shared" ref="ET52" si="1998">IF(COUNTIF($EG51:$EZ51,ET51)&gt;3,ET51,"")</f>
        <v/>
      </c>
      <c r="EU52" s="108" t="str">
        <f t="shared" ref="EU52" si="1999">IF(COUNTIF($EG51:$EZ51,EU51)&gt;3,EU51,"")</f>
        <v/>
      </c>
      <c r="EV52" s="108" t="str">
        <f t="shared" ref="EV52" si="2000">IF(COUNTIF($EG51:$EZ51,EV51)&gt;3,EV51,"")</f>
        <v/>
      </c>
      <c r="EW52" s="108" t="str">
        <f t="shared" ref="EW52" si="2001">IF(COUNTIF($EG51:$EZ51,EW51)&gt;3,EW51,"")</f>
        <v/>
      </c>
      <c r="EX52" s="108" t="str">
        <f t="shared" ref="EX52" si="2002">IF(COUNTIF($EG51:$EZ51,EX51)&gt;3,EX51,"")</f>
        <v/>
      </c>
      <c r="EY52" s="108" t="str">
        <f t="shared" ref="EY52" si="2003">IF(COUNTIF($EG51:$EZ51,EY51)&gt;3,EY51,"")</f>
        <v/>
      </c>
      <c r="EZ52" s="108" t="str">
        <f t="shared" ref="EZ52" si="2004">IF(COUNTIF($EG51:$EZ51,EZ51)&gt;3,EZ51,"")</f>
        <v/>
      </c>
      <c r="FA52" s="108"/>
      <c r="FB52" s="108"/>
      <c r="FC52" s="108"/>
      <c r="FD52" s="108"/>
      <c r="FE52" s="108"/>
      <c r="FF52" s="108"/>
      <c r="FG52" s="108"/>
      <c r="FH52" s="108"/>
      <c r="FI52" s="108" t="str">
        <f t="shared" ref="FI52" si="2005">IF($F51="Hybrid - Thrust + 2 connections",COUNTBLANK(J51:L51),"")</f>
        <v/>
      </c>
      <c r="FJ52" s="108"/>
      <c r="FN52" s="111"/>
    </row>
    <row r="53" spans="1:170" x14ac:dyDescent="0.3">
      <c r="A53" s="40" t="str">
        <f>IF(AND(E51="",A51&lt;&gt;""),IF(BS51=$BS$18,"",IF(C51&lt;&gt;"",IF(D51=59,MINUTE(BS51)+1,MINUTE(BS51)),"")),"")</f>
        <v/>
      </c>
      <c r="B53" s="41" t="str">
        <f>IF(AND(E51="",B51&lt;&gt;""),IF(BS51=$BS$18,"",IF(C51&lt;&gt;"",IF(D51=59,0,SECOND(BS51)+1),"")),"")</f>
        <v/>
      </c>
      <c r="C53" s="51"/>
      <c r="D53" s="51"/>
      <c r="E53" s="9"/>
      <c r="F53" s="52"/>
      <c r="G53" s="43" t="str">
        <f>IF(F53&lt;&gt;"",IF(OR(F53="Transition",F53="Transition - Surface Connection"),0,MAX($G$19:G52)+1),"")</f>
        <v/>
      </c>
      <c r="H53" s="57" t="str">
        <f t="shared" ref="H53" si="2006">IFERROR(IF(E54="3","",IF(OR(F53="Hybrid - min 4 swimmers (no DD)",LEFT(F53,5)="Trans"),"No DD",CONCATENATE("BM = ",I54))),"")</f>
        <v/>
      </c>
      <c r="I53" s="58"/>
      <c r="J53" s="130"/>
      <c r="K53" s="137"/>
      <c r="L53" s="137"/>
      <c r="M53" s="137"/>
      <c r="N53" s="137"/>
      <c r="O53" s="137"/>
      <c r="P53" s="137"/>
      <c r="Q53" s="137"/>
      <c r="R53" s="137"/>
      <c r="S53" s="137"/>
      <c r="T53" s="137"/>
      <c r="U53" s="137"/>
      <c r="V53" s="137"/>
      <c r="W53" s="137"/>
      <c r="X53" s="137"/>
      <c r="Y53" s="137"/>
      <c r="Z53" s="137"/>
      <c r="AA53" s="137"/>
      <c r="AB53" s="137"/>
      <c r="AC53" s="137"/>
      <c r="AD53" s="191"/>
      <c r="AE53" s="44"/>
      <c r="AF53" s="75"/>
      <c r="AG53" s="75"/>
      <c r="AH53" s="110"/>
      <c r="AI53" s="110"/>
      <c r="AJ53" s="110"/>
      <c r="AK53" s="110"/>
      <c r="AL53" s="110"/>
      <c r="AM53" s="110"/>
      <c r="AN53" s="110"/>
      <c r="AO53" s="110"/>
      <c r="AP53" s="110"/>
      <c r="AQ53" s="110"/>
      <c r="AR53" s="110"/>
      <c r="AS53" s="110"/>
      <c r="AT53" s="110" t="str">
        <f>IFERROR(IF(F53&lt;&gt;"",INDEX(Parts_Active,MATCH(F53,Parts_Active,0)),""),"No")</f>
        <v/>
      </c>
      <c r="AU53" s="110"/>
      <c r="AV53" s="110" t="str">
        <f t="shared" ref="AV53" si="2007">IF($E54="H",IF($F53="Hybrid - Thrust + 2 connections","Hybrid_Mix_Req","HybridDD_Code"),IF($E54=3,"TreDD_Code",IF($E54="PA","AcroPair_Code",IF(LEFT($F53,4)="Acro",CONCATENATE(AV$16,$E54,"_Code"),"Data!$BI$1:$BI$5"))))</f>
        <v>Data!$BI$1:$BI$5</v>
      </c>
      <c r="AW53" s="110" t="str">
        <f t="shared" ref="AW53" si="2008">IF($E54="H",IF($F53="Hybrid - Thrust + 2 connections","Hybrid_Mix_Req","HybridDD_Code"),IF($E54=3,"TreDD_Code",IF($E54="PA","AcroPair_Code",IF(LEFT($F53,4)="Acro",CONCATENATE(AW$16,$E54,"_Code"),"Data!$BI$1:$BI$5"))))</f>
        <v>Data!$BI$1:$BI$5</v>
      </c>
      <c r="AX53" s="110" t="str">
        <f t="shared" ref="AX53" si="2009">IF($E54="H",IF($F53="Hybrid - Thrust + 2 connections","Hybrid_Mix_Req","HybridDD_Code"),IF($E54=3,"TreDD_Code",IF($E54="PA","AcroPair_Code",IF(LEFT($F53,4)="Acro",CONCATENATE(AX$16,$E54,"_Code"),"Data!$BI$1:$BI$5"))))</f>
        <v>Data!$BI$1:$BI$5</v>
      </c>
      <c r="AY53" s="110" t="str">
        <f t="shared" ref="AY53" si="2010">IF($E54="H",IF($F53="Hybrid - Thrust + 2 connections","Data!$BI$1:$BI$5","HybridDD_Code"),IF($E54=3,"Data!$BI$1:$BI$5",IF(LEFT($F53,4)="Acro",CONCATENATE(AY$16,$E54,"_Code"),IF($E54="PA","","Data!$BI$1:$BI$5"))))</f>
        <v>Data!$BI$1:$BI$5</v>
      </c>
      <c r="AZ53" s="110" t="str">
        <f t="shared" ref="AZ53" si="2011">IF($E54="H",IF($F53="Hybrid - Thrust + 2 connections","Data!$BI$1:$BI$5","HybridDD_Code"),IF($E54=3,"Data!$BI$1:$BI$5",IF(LEFT($F53,4)="Acro",CONCATENATE(AZ$16,$E54,"_Code"),IF($E54="PA","","Data!$BI$1:$BI$5"))))</f>
        <v>Data!$BI$1:$BI$5</v>
      </c>
      <c r="BA53" s="110" t="str">
        <f t="shared" ref="BA53" si="2012">IF($E54="H",IF($F53="Hybrid - Thrust + 2 connections","Data!$BI$1:$BI$5","HybridDD_Code"),IF($E54=3,"Data!$BI$1:$BI$5",IF(LEFT($F53,4)="Acro",CONCATENATE(BA$16,$E54,"_Code"),IF($E54="PA","","Data!$BI$1:$BI$5"))))</f>
        <v>Data!$BI$1:$BI$5</v>
      </c>
      <c r="BB53" s="110" t="str">
        <f t="shared" ref="BB53" si="2013">IF($E54="H",IF($F53="Hybrid - Thrust + 2 connections","Data!$BI$1:$BI$5","HybridDD_Code"),IF($E54=3,"Data!$BI$1:$BI$5",IF(LEFT($F53,4)="Acro",CONCATENATE(BB$16,$E54,"_Code"),IF($E54="PA","","Data!$BI$1:$BI$5"))))</f>
        <v>Data!$BI$1:$BI$5</v>
      </c>
      <c r="BC53" s="110" t="str">
        <f t="shared" ref="BC53" si="2014">IF($E54="H",IF($F53="Hybrid - Thrust + 2 connections","Data!$BI$1:$BI$5","HybridDD_Code"),IF($E54=3,"Data!$BI$1:$BI$5",IF(LEFT($F53,4)="Acro",CONCATENATE(BC$16,$E54,"_Code"),IF($E54="PA","","Data!$BI$1:$BI$5"))))</f>
        <v>Data!$BI$1:$BI$5</v>
      </c>
      <c r="BD53" s="110" t="str">
        <f t="shared" ref="BD53" si="2015">IF($E54="H",IF($F53="Hybrid - Thrust + 2 connections","Data!$BI$1:$BI$5","HybridDD_Code"),IF($E54=3,"Data!$BI$1:$BI$5",IF(LEFT($F53,4)="Acro",CONCATENATE(BD$16,$E54,"_Code"),IF($E54="PA","","Data!$BI$1:$BI$5"))))</f>
        <v>Data!$BI$1:$BI$5</v>
      </c>
      <c r="BE53" s="110" t="str">
        <f t="shared" ref="BE53" si="2016">IF($E54="H",IF($F53="Hybrid - Thrust + 2 connections","Data!$BI$1:$BI$5","HybridDD_Code"),"Data!$BI$1:$BI$5")</f>
        <v>Data!$BI$1:$BI$5</v>
      </c>
      <c r="BF53" s="110" t="str">
        <f t="shared" si="1762"/>
        <v>Data!$BI$1:$BI$5</v>
      </c>
      <c r="BG53" s="110" t="str">
        <f t="shared" si="1762"/>
        <v>Data!$BI$1:$BI$5</v>
      </c>
      <c r="BH53" s="110" t="str">
        <f t="shared" si="1762"/>
        <v>Data!$BI$1:$BI$5</v>
      </c>
      <c r="BI53" s="110" t="str">
        <f t="shared" si="1762"/>
        <v>Data!$BI$1:$BI$5</v>
      </c>
      <c r="BJ53" s="110" t="str">
        <f t="shared" si="1762"/>
        <v>Data!$BI$1:$BI$5</v>
      </c>
      <c r="BK53" s="110" t="str">
        <f t="shared" si="1762"/>
        <v>Data!$BI$1:$BI$5</v>
      </c>
      <c r="BL53" s="110" t="str">
        <f t="shared" si="1762"/>
        <v>Data!$BI$1:$BI$5</v>
      </c>
      <c r="BM53" s="110" t="str">
        <f t="shared" si="1762"/>
        <v>Data!$BI$1:$BI$5</v>
      </c>
      <c r="BN53" s="110" t="str">
        <f t="shared" si="1762"/>
        <v>Data!$BI$1:$BI$5</v>
      </c>
      <c r="BO53" s="110" t="str">
        <f t="shared" si="1762"/>
        <v>Data!$BI$1:$BI$5</v>
      </c>
      <c r="BP53" s="110"/>
      <c r="BQ53" s="110"/>
      <c r="BR53" s="113" t="str">
        <f t="shared" ref="BR53" si="2017">IFERROR(TIME(0,A53,B53),"")</f>
        <v/>
      </c>
      <c r="BS53" s="114">
        <f>IFERROR(TIME(0,C53,D53),"")</f>
        <v>0</v>
      </c>
      <c r="BT53" s="114" t="str">
        <f t="shared" ref="BT53" si="2018">IF(BS53&gt;$D$12,"X","")</f>
        <v/>
      </c>
      <c r="BU53" s="108" t="str">
        <f>IF(AND(F53="Hybrid - Thrust + 2 connections",OR(LEFT(J53,1)="T",LEFT(K53,1)="T",LEFT(L53,1)="T",LEFT(NG53,1)="T",LEFT(M53,1)="T",LEFT(N53,1)="T",LEFT(O53,1)="T",LEFT(P53,1)="T",LEFT(Q53,1)="T",LEFT(R53,1)="T",LEFT(S53,1)="T",LEFT(T53,1)="T",LEFT(U53,1)="T",LEFT(V53,1)="T",LEFT(W53,1)="T",LEFT(X53,1)="T",LEFT(AA53,1)="T",LEFT(AB53,1)="T",LEFT(AC53,1)="T")),IF(OR(LEN(J53)=2,LEN(K53)=2,LEN(L53)=2,LEN(M53)=2,LEN(N53)=2,LEN(O53)=2,LEN(P53)=2,LEN(Q53)=2,LEN(R53)=2,LEN(S53)=2,LEN(T53)=2,LEN(U53)=2,LEN(V53)=2,LEN(W53)=2,LEN(X53)=2,LEN(Y53)=2,LEN(Z53)=2,LEN(AA53)=2,LEN(AB53)=2,LEN(AC53)=2),"X",""),"")</f>
        <v/>
      </c>
      <c r="BV53" s="111" t="str">
        <f>IF(F53="Hybrid",SECOND(BS53),"")</f>
        <v/>
      </c>
      <c r="BW53" s="108" t="str">
        <f>IF(LEFT(F53,4)="Acro",IF(AND(N53&lt;&gt;"",M53=RIGHT(N53,2)),"X","OK"),"")</f>
        <v/>
      </c>
      <c r="BX53" s="110" t="str">
        <f t="shared" ref="BX53:CE53" si="2019">IFERROR(IF(AND(LEFT($F53,4)="Acro",INDEX(Requ_App,MATCH(AV53,Requ_Code,0))="No"),"X",""),"")</f>
        <v/>
      </c>
      <c r="BY53" s="110" t="str">
        <f t="shared" si="2019"/>
        <v/>
      </c>
      <c r="BZ53" s="110" t="str">
        <f t="shared" si="2019"/>
        <v/>
      </c>
      <c r="CA53" s="110" t="str">
        <f t="shared" si="2019"/>
        <v/>
      </c>
      <c r="CB53" s="110" t="str">
        <f t="shared" si="2019"/>
        <v/>
      </c>
      <c r="CC53" s="110" t="str">
        <f t="shared" si="2019"/>
        <v/>
      </c>
      <c r="CD53" s="110" t="str">
        <f t="shared" si="2019"/>
        <v/>
      </c>
      <c r="CE53" s="110" t="str">
        <f t="shared" si="2019"/>
        <v/>
      </c>
      <c r="CF53" s="110" t="str">
        <f>IFERROR(IF(AND(LEFT($F53,4)="Acro",INDEX(Requ_App,MATCH(BC53,Requ_Code,0))="No"),"X",""),"")</f>
        <v/>
      </c>
      <c r="CG53" s="108" t="str">
        <f t="shared" si="1891"/>
        <v/>
      </c>
      <c r="CH53" s="108" t="str">
        <f t="shared" si="1892"/>
        <v/>
      </c>
      <c r="CI53" s="108" t="str">
        <f t="shared" si="1893"/>
        <v/>
      </c>
      <c r="CJ53" s="108" t="str">
        <f t="shared" si="1894"/>
        <v/>
      </c>
      <c r="CN53" s="108">
        <f t="shared" ref="CN53" si="2020">IF(AND(E54="A",OR(Q53="Grip",Q53="Conn",Q53="Catch")),"A1",IF(AND(E54="A",OR(Q53="Hula",Q53="RetSq",Q53="RetPa")),"A2",IF(AND(E54="B",OR(Q53="Twirl",Q53="RotF")),"B1",IF(AND(E54="B",OR(Q53="Moon",Q53="Mov")),"B2",IF(AND(E54="B",Q53="Hold"),"B3",IF(AND(E54="P",OR(Q53="Porp",Q53="Spitch")),"P1",IF(AND(E54="P",OR(Q53="Dive",Q53="Ps1",Q53="Ps1t0.5",Q53="Ps1op",Q53="Ps1t0,5o",Q53="Ps1t1",Q53="CH+")),"P2",IF(AND(E54="P",OR(Q53="Spider",Q53="Climb")),"P3",IF(AND(E54="P",OR(Q53="Fall",Q53="FTurn")),"P4",IF(AND(E54="C",OR(Q53="Jump",Q53="Jump&gt;",Q53="On1Foot",Q53="1F&gt;1F")),"C1",IF(AND(E54="C",OR(Q53="Run",Q53="BRun")),"C2",1)))))))))))</f>
        <v>1</v>
      </c>
      <c r="CO53" s="108">
        <f t="shared" ref="CO53" si="2021">IF(AND(E54="A",OR(R53="Grip",R53="Conn",R53="Catch")),"A1",IF(AND(E54="A",OR(R53="Hula",R53="RetSq",R53="RetPa")),"A2",IF(AND(E54="B",OR(R53="Twirl",R53="RotF")),"B1",IF(AND(E54="B",OR(R53="Moon",R53="Mov")),"B3",IF(AND(E54="B",R53="Hold"),"B2",IF(AND(E54="P",OR(R53="Porp",R53="Spitch")),"P1",IF(AND(E54="P",OR(R53="Dive",R53="Ps1",R53="Ps1t0.5",R53="Ps1op",R53="Ps1t0,5o",R53="Ps1t1",R53="CH+")),"P2",IF(AND(E54="P",OR(R53="Spider",R53="Climb")),"P3",IF(AND(E54="P",OR(R53="Fall",R53="FTurn")),"P4",IF(AND(E54="C",OR(R53="Jump",R53="Jump&gt;",R53="On1Foot",R53="1F&gt;1F")),"C1",IF(AND(E54="C",OR(R53="Run",R53="BRun")),"C2",2)))))))))))</f>
        <v>2</v>
      </c>
      <c r="CP53" s="108" t="str">
        <f t="shared" ref="CP53" si="2022">IF(AND(LEFT(F53,4)="Acro",Q53&lt;&gt;"",OR(Q53=R53,CN53=CO53)),IF(R53="C-Roll","","X"),IF(OR(AND(E54="A",Q53="Catch",R53&lt;&gt;"Dbl"),AND(E54="A",R53="Catch",Q53&lt;&gt;"Dbl")),"X",""))</f>
        <v/>
      </c>
      <c r="CQ53" s="108" t="str">
        <f t="shared" ref="CQ53" si="2023">IF(E54="PA",J53,"")</f>
        <v/>
      </c>
      <c r="CR53" s="108">
        <v>35</v>
      </c>
      <c r="CT53" s="108" t="str">
        <f t="shared" ref="CT53" si="2024">IF(AND($E54="A",COUNTIF($DC$19:$DD$68,DC53)&gt;1),DC53,"")</f>
        <v/>
      </c>
      <c r="CU53" s="108" t="str">
        <f t="shared" ref="CU53" si="2025">IF(AND($E54="A",COUNTIF($DC$19:$DD$68,DD53)&gt;1),DD53,"")</f>
        <v/>
      </c>
      <c r="CV53" s="108" t="str">
        <f t="shared" ref="CV53" ca="1" si="2026">IF(AND($E54="B",COUNTIF($J$19:$J$68,J53)&gt;1),J53,"")</f>
        <v/>
      </c>
      <c r="CW53" s="108" t="str">
        <f t="shared" ref="CW53" ca="1" si="2027">IF(AND($E54="B",COUNTIF($K$19:$K$68,K53)&gt;1),K53,"")</f>
        <v/>
      </c>
      <c r="CX53" s="108" t="str">
        <f t="shared" ref="CX53" ca="1" si="2028">IF(AND($E54="C",COUNTIF($J$19:$J$68,J53)&gt;1),J53,"")</f>
        <v/>
      </c>
      <c r="CY53" s="108" t="str">
        <f t="shared" ref="CY53" ca="1" si="2029">IF(AND($E54="P",COUNTIF($J$19:$J$68,J53)&gt;1),J53,"")</f>
        <v/>
      </c>
      <c r="CZ53" s="108" t="str">
        <f t="shared" ref="CZ53" ca="1" si="2030">IF(AND($E54="P",COUNTIF($K$19:$K$68,K53)&gt;1),K53,"")</f>
        <v/>
      </c>
      <c r="DA53" s="108" t="str">
        <f t="shared" ref="DA53" si="2031">IF(AND($E54="P",COUNTIF($DC$19:$DD$68,DC53)&gt;1),DC53,"")</f>
        <v/>
      </c>
      <c r="DB53" s="108" t="str">
        <f t="shared" ref="DB53" si="2032">IF(AND($E54="P",COUNTIF($DC$19:$DD$68,DD53)&gt;1),DD53,"")</f>
        <v/>
      </c>
      <c r="DC53" s="108" t="str">
        <f t="shared" ref="DC53" si="2033">IFERROR(IF(OR(E54="A",E54="P"),M53,""),"")</f>
        <v/>
      </c>
      <c r="DD53" s="108" t="str">
        <f t="shared" ref="DD53" si="2034">IFERROR(IF(OR(E54="A",E54="P"),RIGHT(N53,2),""),"")</f>
        <v/>
      </c>
      <c r="DF53" s="108" t="str">
        <f t="shared" ref="DF53" si="2035">IF(AND($F$8="Open Team Acrobatic",LEFT(F53,4)="Acro"),E54,"")</f>
        <v/>
      </c>
      <c r="DG53" s="108" t="str">
        <f t="shared" ref="DG53" si="2036">IFERROR(IF(HLOOKUP(DF53,$DD$12:$DG$13,2,FALSE)&gt;2,"X",""),"")</f>
        <v/>
      </c>
      <c r="DI53" s="108" t="str">
        <f t="shared" ref="DI53" si="2037">IF(OR(AND(F53="Hybrid - Thrust + 2 connections",DI54="T"),AND(F53="Hybrid - Free",DI54&lt;&gt;"")),"X","")</f>
        <v/>
      </c>
      <c r="DK53" s="108">
        <f t="shared" ref="DK53" si="2038">IFERROR(IF(AND($E54="H",J53&lt;&gt;""),IF(OR(LEFT(J53,1)="T",LEFT(J53,1)="S",LEFT(J53,1)="A",LEFT(J53,1)="F",LEFT(J53,1)="C"),LEFT(J53,1),"R"),DK$18),"")</f>
        <v>1</v>
      </c>
      <c r="DL53" s="108">
        <f t="shared" ref="DL53" si="2039">IFERROR(IF(AND($E54="H",K53&lt;&gt;""),IF(OR(LEFT(K53,1)="T",LEFT(K53,1)="S",LEFT(K53,1)="A",LEFT(K53,1)="F",LEFT(K53,1)="C"),LEFT(K53,1),"R"),DL$18),"")</f>
        <v>2</v>
      </c>
      <c r="DM53" s="108">
        <f t="shared" ref="DM53" si="2040">IFERROR(IF(AND($E54="H",L53&lt;&gt;""),IF(OR(LEFT(L53,1)="T",LEFT(L53,1)="S",LEFT(L53,1)="A",LEFT(L53,1)="F",LEFT(L53,1)="C"),LEFT(L53,1),"R"),DM$18),"")</f>
        <v>3</v>
      </c>
      <c r="DN53" s="108">
        <f t="shared" ref="DN53" si="2041">IFERROR(IF(AND($E54="H",M53&lt;&gt;""),IF(OR(LEFT(M53,1)="T",LEFT(M53,1)="S",LEFT(M53,1)="A",LEFT(M53,1)="F",LEFT(M53,1)="C"),LEFT(M53,1),"R"),DN$18),"")</f>
        <v>4</v>
      </c>
      <c r="DO53" s="108">
        <f t="shared" ref="DO53" si="2042">IFERROR(IF(AND($E54="H",N53&lt;&gt;""),IF(OR(LEFT(N53,1)="T",LEFT(N53,1)="S",LEFT(N53,1)="A",LEFT(N53,1)="F",LEFT(N53,1)="C"),LEFT(N53,1),"R"),DO$18),"")</f>
        <v>5</v>
      </c>
      <c r="DP53" s="108">
        <f t="shared" ref="DP53" si="2043">IFERROR(IF(AND($E54="H",O53&lt;&gt;""),IF(OR(LEFT(O53,1)="T",LEFT(O53,1)="S",LEFT(O53,1)="A",LEFT(O53,1)="F",LEFT(O53,1)="C"),LEFT(O53,1),"R"),DP$18),"")</f>
        <v>6</v>
      </c>
      <c r="DQ53" s="108">
        <f t="shared" ref="DQ53" si="2044">IFERROR(IF(AND($E54="H",P53&lt;&gt;""),IF(OR(LEFT(P53,1)="T",LEFT(P53,1)="S",LEFT(P53,1)="A",LEFT(P53,1)="F",LEFT(P53,1)="C"),LEFT(P53,1),"R"),DQ$18),"")</f>
        <v>7</v>
      </c>
      <c r="DR53" s="108">
        <f t="shared" ref="DR53" si="2045">IFERROR(IF(AND($E54="H",Q53&lt;&gt;""),IF(OR(LEFT(Q53,1)="T",LEFT(Q53,1)="S",LEFT(Q53,1)="A",LEFT(Q53,1)="F",LEFT(Q53,1)="C"),LEFT(Q53,1),"R"),DR$18),"")</f>
        <v>8</v>
      </c>
      <c r="DS53" s="108">
        <f t="shared" ref="DS53" si="2046">IFERROR(IF(AND($E54="H",R53&lt;&gt;""),IF(OR(LEFT(R53,1)="T",LEFT(R53,1)="S",LEFT(R53,1)="A",LEFT(R53,1)="F",LEFT(R53,1)="C"),LEFT(R53,1),"R"),DS$18),"")</f>
        <v>9</v>
      </c>
      <c r="DT53" s="108">
        <f t="shared" ref="DT53" si="2047">IFERROR(IF(AND($E54="H",S53&lt;&gt;""),IF(OR(LEFT(S53,1)="T",LEFT(S53,1)="S",LEFT(S53,1)="A",LEFT(S53,1)="F",LEFT(S53,1)="C"),LEFT(S53,1),"R"),DT$18),"")</f>
        <v>10</v>
      </c>
      <c r="DU53" s="108">
        <f t="shared" ref="DU53" si="2048">IFERROR(IF(AND($E54="H",T53&lt;&gt;""),IF(OR(LEFT(T53,1)="T",LEFT(T53,1)="S",LEFT(T53,1)="A",LEFT(T53,1)="F",LEFT(T53,1)="C"),LEFT(T53,1),"R"),DU$18),"")</f>
        <v>11</v>
      </c>
      <c r="DV53" s="108">
        <f t="shared" ref="DV53" si="2049">IFERROR(IF(AND($E54="H",U53&lt;&gt;""),IF(OR(LEFT(U53,1)="T",LEFT(U53,1)="S",LEFT(U53,1)="A",LEFT(U53,1)="F",LEFT(U53,1)="C"),LEFT(U53,1),"R"),DV$18),"")</f>
        <v>12</v>
      </c>
      <c r="DW53" s="108">
        <f t="shared" ref="DW53" si="2050">IFERROR(IF(AND($E54="H",V53&lt;&gt;""),IF(OR(LEFT(V53,1)="T",LEFT(V53,1)="S",LEFT(V53,1)="A",LEFT(V53,1)="F",LEFT(V53,1)="C"),LEFT(V53,1),"R"),DW$18),"")</f>
        <v>13</v>
      </c>
      <c r="DX53" s="108">
        <f t="shared" ref="DX53" si="2051">IFERROR(IF(AND($E54="H",W53&lt;&gt;""),IF(OR(LEFT(W53,1)="T",LEFT(W53,1)="S",LEFT(W53,1)="A",LEFT(W53,1)="F",LEFT(W53,1)="C"),LEFT(W53,1),"R"),DX$18),"")</f>
        <v>14</v>
      </c>
      <c r="DY53" s="108">
        <f t="shared" ref="DY53" si="2052">IFERROR(IF(AND($E54="H",X53&lt;&gt;""),IF(OR(LEFT(X53,1)="T",LEFT(X53,1)="S",LEFT(X53,1)="A",LEFT(X53,1)="F",LEFT(X53,1)="C"),LEFT(X53,1),"R"),DY$18),"")</f>
        <v>15</v>
      </c>
      <c r="DZ53" s="108">
        <f t="shared" ref="DZ53" si="2053">IFERROR(IF(AND($E54="H",Y53&lt;&gt;""),IF(OR(LEFT(Y53,1)="T",LEFT(Y53,1)="S",LEFT(Y53,1)="A",LEFT(Y53,1)="F",LEFT(Y53,1)="C"),LEFT(Y53,1),"R"),DZ$18),"")</f>
        <v>16</v>
      </c>
      <c r="EA53" s="108">
        <f t="shared" ref="EA53" si="2054">IFERROR(IF(AND($E54="H",Z53&lt;&gt;""),IF(OR(LEFT(Z53,1)="T",LEFT(Z53,1)="S",LEFT(Z53,1)="A",LEFT(Z53,1)="F",LEFT(Z53,1)="C"),LEFT(Z53,1),"R"),EA$18),"")</f>
        <v>17</v>
      </c>
      <c r="EB53" s="108">
        <f t="shared" ref="EB53" si="2055">IFERROR(IF(AND($E54="H",AA53&lt;&gt;""),IF(OR(LEFT(AA53,1)="T",LEFT(AA53,1)="S",LEFT(AA53,1)="A",LEFT(AA53,1)="F",LEFT(AA53,1)="C"),LEFT(AA53,1),"R"),EB$18),"")</f>
        <v>18</v>
      </c>
      <c r="EC53" s="108">
        <f t="shared" ref="EC53" si="2056">IFERROR(IF(AND($E54="H",AB53&lt;&gt;""),IF(OR(LEFT(AB53,1)="T",LEFT(AB53,1)="S",LEFT(AB53,1)="A",LEFT(AB53,1)="F",LEFT(AB53,1)="C"),LEFT(AB53,1),"R"),EC$18),"")</f>
        <v>19</v>
      </c>
      <c r="ED53" s="108">
        <f t="shared" ref="ED53" si="2057">IFERROR(IF(AND($E54="H",AC53&lt;&gt;""),IF(OR(LEFT(AC53,1)="T",LEFT(AC53,1)="S",LEFT(AC53,1)="A",LEFT(AC53,1)="F",LEFT(AC53,1)="C"),LEFT(AC53,1),"R"),ED$18),"")</f>
        <v>20</v>
      </c>
      <c r="EE53" s="108"/>
      <c r="EF53" s="108"/>
      <c r="EG53" s="108">
        <f t="shared" ref="EG53:EZ53" si="2058">IFERROR(IF(J53&lt;&gt;"",UPPER(J53),EG$18),EG$18)</f>
        <v>1</v>
      </c>
      <c r="EH53" s="108">
        <f t="shared" si="2058"/>
        <v>2</v>
      </c>
      <c r="EI53" s="108">
        <f t="shared" si="2058"/>
        <v>3</v>
      </c>
      <c r="EJ53" s="108">
        <f t="shared" si="2058"/>
        <v>4</v>
      </c>
      <c r="EK53" s="108">
        <f t="shared" si="2058"/>
        <v>5</v>
      </c>
      <c r="EL53" s="108">
        <f t="shared" si="2058"/>
        <v>6</v>
      </c>
      <c r="EM53" s="108">
        <f t="shared" si="2058"/>
        <v>7</v>
      </c>
      <c r="EN53" s="108">
        <f t="shared" si="2058"/>
        <v>8</v>
      </c>
      <c r="EO53" s="108">
        <f t="shared" si="2058"/>
        <v>9</v>
      </c>
      <c r="EP53" s="108">
        <f t="shared" si="2058"/>
        <v>10</v>
      </c>
      <c r="EQ53" s="108">
        <f t="shared" si="2058"/>
        <v>11</v>
      </c>
      <c r="ER53" s="108">
        <f t="shared" si="2058"/>
        <v>12</v>
      </c>
      <c r="ES53" s="108">
        <f t="shared" si="2058"/>
        <v>13</v>
      </c>
      <c r="ET53" s="108">
        <f t="shared" si="2058"/>
        <v>14</v>
      </c>
      <c r="EU53" s="108">
        <f t="shared" si="2058"/>
        <v>15</v>
      </c>
      <c r="EV53" s="108">
        <f t="shared" si="2058"/>
        <v>16</v>
      </c>
      <c r="EW53" s="108">
        <f t="shared" si="2058"/>
        <v>17</v>
      </c>
      <c r="EX53" s="108">
        <f t="shared" si="2058"/>
        <v>18</v>
      </c>
      <c r="EY53" s="108">
        <f t="shared" si="2058"/>
        <v>19</v>
      </c>
      <c r="EZ53" s="108">
        <f t="shared" si="2058"/>
        <v>20</v>
      </c>
      <c r="FA53" s="108"/>
      <c r="FB53" s="108">
        <f t="shared" ref="FB53" si="2059">COUNTIF($DK53:$ED53,FB$18)</f>
        <v>0</v>
      </c>
      <c r="FC53" s="108">
        <f t="shared" si="934"/>
        <v>0</v>
      </c>
      <c r="FD53" s="108">
        <f t="shared" si="934"/>
        <v>0</v>
      </c>
      <c r="FE53" s="108">
        <f t="shared" si="934"/>
        <v>0</v>
      </c>
      <c r="FF53" s="108">
        <f t="shared" si="934"/>
        <v>0</v>
      </c>
      <c r="FG53" s="108">
        <f t="shared" si="934"/>
        <v>0</v>
      </c>
      <c r="FH53" s="108"/>
      <c r="FI53" s="108" t="str">
        <f t="shared" ref="FI53" si="2060">IF(AND($F53="Hybrid - Thrust + 2 connections",FI54=0,LEFT($J53,1)="C",LEFT($K53,1)="C",LEFT($L53,1)="C"),"X","")</f>
        <v/>
      </c>
      <c r="FJ53" s="108"/>
      <c r="FL53" s="120" t="e">
        <f>IF(OR(LEFT(#REF!,2)="PL",LEFT(#REF!,2)="PL",LEFT(#REF!,2)="PL",LEFT(#REF!,2)="PL",LEFT(#REF!,2)="PL"),IF($BS$17-BR53&gt;$FL$17,"X",""),"")</f>
        <v>#REF!</v>
      </c>
      <c r="FM53" s="120"/>
      <c r="FN53" s="111" t="str">
        <f>IF(E54=3,_xlfn.NUMBERVALUE(LEFT(J53,1)),"")</f>
        <v/>
      </c>
    </row>
    <row r="54" spans="1:170" x14ac:dyDescent="0.3">
      <c r="A54" s="40"/>
      <c r="B54" s="41"/>
      <c r="C54" s="41"/>
      <c r="D54" s="41"/>
      <c r="E54" s="21" t="str">
        <f t="shared" ref="E54" si="2061">IF(F53="Acrobatic - Pair","PA",IF(F53="Acrobatic Airborn","A",IF(F53="Acrobatic Balance","B",IF(F53="Acrobatic Combined","C",IF(F53="Acrobatic Platform","P",IF(F53="Technical Required Element",3,IF(LEFT(F53,4)="Hybr","H","")))))))</f>
        <v/>
      </c>
      <c r="F54" s="21" t="str">
        <f t="shared" ref="F54" si="2062">IF(AND(F53="Hybrid - Thrust + 2 connections",BU53="X"),"Hybrid - Thrust",IF(OR(E54="A",E54="B",E54="C",E54="P"),"Acrobatic",""))</f>
        <v/>
      </c>
      <c r="G54" s="43"/>
      <c r="H54" s="222" t="str">
        <f t="shared" ref="H54" si="2063">IF(E54="PA",IF(OR(LEFT(J53,1)="L",LEFT(J53,1)="S"),"A-Pair-Lift",IF(OR(LEFT(J53,1)="W",LEFT(J53,1)="T"),"A-Pair-Throw",IF(LEFT(J53,1)="J","A-Pair-Jump","A-Pair"))),IF(OR(E54="A",E54="B",E54="C",E54="P"),CONCATENATE("Acro-",E54),""))</f>
        <v/>
      </c>
      <c r="I54" s="216" t="e">
        <f t="shared" ref="I54" si="2064">IF(OR(F53="Hybrid - min 4 swimmers (no DD)",LEFT(F53,5)="Trans"),0,INDEX($BV$3:$BV$9,MATCH(E54,$BU$3:$BU$9,0)))</f>
        <v>#N/A</v>
      </c>
      <c r="J54" s="210">
        <f t="shared" ref="J54" ca="1" si="2065">IFERROR(IF($H53="No DD",0,IF(OR(ISBLANK(J53),J53="N/A"),0,INDEX(INDIRECT(AV54),MATCH(J53,INDIRECT(AV53),0)))),0)</f>
        <v>0</v>
      </c>
      <c r="K54" s="210">
        <f t="shared" ref="K54" ca="1" si="2066">IFERROR(IF($H53="No DD",0,IF(OR(ISBLANK(K53),K53="N/A"),0,INDEX(INDIRECT(AW54),MATCH(K53,INDIRECT(AW53),0)))),0)</f>
        <v>0</v>
      </c>
      <c r="L54" s="210">
        <f t="shared" ref="L54" ca="1" si="2067">IFERROR(IF($H53="No DD",0,IF(OR(ISBLANK(L53),L53="N/A"),0,INDEX(INDIRECT(AX54),MATCH(L53,INDIRECT(AX53),0)))),0)</f>
        <v>0</v>
      </c>
      <c r="M54" s="210">
        <f t="shared" ref="M54" ca="1" si="2068">IFERROR(IF($H53="No DD",0,IF(OR(ISBLANK(M53),M53="N/A"),0,INDEX(INDIRECT(AY54),MATCH(M53,INDIRECT(AY53),0)))),0)</f>
        <v>0</v>
      </c>
      <c r="N54" s="210">
        <f t="shared" ref="N54" ca="1" si="2069">IFERROR(IF($H53="No DD",0,IF(OR(ISBLANK(N53),N53="N/A"),0,INDEX(INDIRECT(AZ54),MATCH(N53,INDIRECT(AZ53),0)))),0)</f>
        <v>0</v>
      </c>
      <c r="O54" s="210">
        <f t="shared" ref="O54" ca="1" si="2070">IFERROR(IF($H53="No DD",0,IF(OR(ISBLANK(O53),O53="N/A"),0,INDEX(INDIRECT(BA54),MATCH(O53,INDIRECT(BA53),0)))),0)</f>
        <v>0</v>
      </c>
      <c r="P54" s="210">
        <f t="shared" ref="P54" ca="1" si="2071">IFERROR(IF($H53="No DD",0,IF(OR(ISBLANK(P53),P53="N/A"),0,INDEX(INDIRECT(BB54),MATCH(P53,INDIRECT(BB53),0)))),0)</f>
        <v>0</v>
      </c>
      <c r="Q54" s="210">
        <f t="shared" ref="Q54" ca="1" si="2072">IFERROR(IF($H53="No DD",0,IF(OR(ISBLANK(Q53),Q53="N/A"),0,INDEX(INDIRECT(BC54),MATCH(Q53,INDIRECT(BC53),0)))),0)</f>
        <v>0</v>
      </c>
      <c r="R54" s="210">
        <f t="shared" ref="R54" ca="1" si="2073">IFERROR(IF($H53="No DD",0,IF(OR(ISBLANK(R53),R53="N/A"),0,INDEX(INDIRECT(BD54),MATCH(R53,INDIRECT(BD53),0)))),0)</f>
        <v>0</v>
      </c>
      <c r="S54" s="210">
        <f t="shared" ref="S54" ca="1" si="2074">IFERROR(IF($H53="No DD",0,IF(OR(ISBLANK(S53),S53="N/A"),0,INDEX(INDIRECT(BE54),MATCH(S53,INDIRECT(BE53),0)))),0)</f>
        <v>0</v>
      </c>
      <c r="T54" s="210">
        <f t="shared" ref="T54" ca="1" si="2075">IFERROR(IF($H53="No DD",0,IF(OR(ISBLANK(T53),T53="N/A"),0,INDEX(INDIRECT(BF54),MATCH(T53,INDIRECT(BF53),0)))),0)</f>
        <v>0</v>
      </c>
      <c r="U54" s="210">
        <f t="shared" ref="U54" ca="1" si="2076">IFERROR(IF($H53="No DD",0,IF(OR(ISBLANK(U53),U53="N/A"),0,INDEX(INDIRECT(BG54),MATCH(U53,INDIRECT(BG53),0)))),0)</f>
        <v>0</v>
      </c>
      <c r="V54" s="210">
        <f t="shared" ref="V54" ca="1" si="2077">IFERROR(IF($H53="No DD",0,IF(OR(ISBLANK(V53),V53="N/A"),0,INDEX(INDIRECT(BH54),MATCH(V53,INDIRECT(BH53),0)))),0)</f>
        <v>0</v>
      </c>
      <c r="W54" s="210">
        <f t="shared" ref="W54" ca="1" si="2078">IFERROR(IF($H53="No DD",0,IF(OR(ISBLANK(W53),W53="N/A"),0,INDEX(INDIRECT(BI54),MATCH(W53,INDIRECT(BI53),0)))),0)</f>
        <v>0</v>
      </c>
      <c r="X54" s="210">
        <f t="shared" ref="X54" ca="1" si="2079">IFERROR(IF($H53="No DD",0,IF(OR(ISBLANK(X53),X53="N/A"),0,INDEX(INDIRECT(BJ54),MATCH(X53,INDIRECT(BJ53),0)))),0)</f>
        <v>0</v>
      </c>
      <c r="Y54" s="210">
        <f t="shared" ref="Y54" ca="1" si="2080">IFERROR(IF($H53="No DD",0,IF(OR(ISBLANK(Y53),Y53="N/A"),0,INDEX(INDIRECT(BK54),MATCH(Y53,INDIRECT(BK53),0)))),0)</f>
        <v>0</v>
      </c>
      <c r="Z54" s="210">
        <f t="shared" ref="Z54" ca="1" si="2081">IFERROR(IF($H53="No DD",0,IF(OR(ISBLANK(Z53),Z53="N/A"),0,INDEX(INDIRECT(BL54),MATCH(Z53,INDIRECT(BL53),0)))),0)</f>
        <v>0</v>
      </c>
      <c r="AA54" s="210">
        <f t="shared" ref="AA54" ca="1" si="2082">IFERROR(IF($H53="No DD",0,IF(OR(ISBLANK(AA53),AA53="N/A"),0,INDEX(INDIRECT(BM54),MATCH(AA53,INDIRECT(BM53),0)))),0)</f>
        <v>0</v>
      </c>
      <c r="AB54" s="210">
        <f t="shared" ref="AB54" ca="1" si="2083">IFERROR(IF($H53="No DD",0,IF(OR(ISBLANK(AB53),AB53="N/A"),0,INDEX(INDIRECT(BN54),MATCH(AB53,INDIRECT(BN53),0)))),0)</f>
        <v>0</v>
      </c>
      <c r="AC54" s="210">
        <f t="shared" ref="AC54" ca="1" si="2084">IFERROR(IF($H53="No DD",0,IF(OR(ISBLANK(AC53),AC53="N/A"),0,INDEX(INDIRECT(BO54),MATCH(AC53,INDIRECT(BO53),0)))),0)</f>
        <v>0</v>
      </c>
      <c r="AD54" s="211" t="str">
        <f>IFERROR(IF(E54="H",INDEX(HybridBonus_Value,MATCH(AD53,HybridBonus_Code,0)),""),"")</f>
        <v/>
      </c>
      <c r="AE54" s="209" t="str">
        <f t="shared" ref="AE54" si="2085">IFERROR(IF(J53&lt;&gt;"",SUM(I54:AD54),""),"")</f>
        <v/>
      </c>
      <c r="AF54" s="76"/>
      <c r="AG54" s="76"/>
      <c r="AH54" s="121"/>
      <c r="AI54" s="121"/>
      <c r="AJ54" s="121"/>
      <c r="AK54" s="121"/>
      <c r="AL54" s="121"/>
      <c r="AM54" s="121"/>
      <c r="AN54" s="121"/>
      <c r="AO54" s="121"/>
      <c r="AP54" s="121"/>
      <c r="AQ54" s="121"/>
      <c r="AR54" s="121"/>
      <c r="AS54" s="121"/>
      <c r="AT54" s="110"/>
      <c r="AU54" s="121"/>
      <c r="AV54" s="111" t="str">
        <f t="shared" ref="AV54" si="2086">IF($E54="H","HybridDD_Value",IF($E54=3,"TreDD_Value",IF($E54="PA","AcroPair_Value",IF(LEFT($F53,4)="Acro",CONCATENATE(AV$16,$E54,"_Value"),""))))</f>
        <v/>
      </c>
      <c r="AW54" s="111" t="str">
        <f t="shared" ref="AW54:AX54" si="2087">IF($E54="H","HybridDD_Value",IF($E54=3,"",IF(LEFT($F53,4)="Acro",CONCATENATE(AW$16,$E54,"_Value"),IF($E54="PA","",""))))</f>
        <v/>
      </c>
      <c r="AX54" s="111" t="str">
        <f t="shared" si="2087"/>
        <v/>
      </c>
      <c r="AY54" s="111" t="str">
        <f t="shared" ref="AY54:BD54" si="2088">IF($E54="H","HybridDD_Value",IF($E54=3,"",IF(LEFT($F53,4)="Acro",CONCATENATE(AY$16,$E54,"_Value"),IF($E54="PA","",""))))</f>
        <v/>
      </c>
      <c r="AZ54" s="111" t="str">
        <f t="shared" si="2088"/>
        <v/>
      </c>
      <c r="BA54" s="111" t="str">
        <f t="shared" si="2088"/>
        <v/>
      </c>
      <c r="BB54" s="111" t="str">
        <f t="shared" si="2088"/>
        <v/>
      </c>
      <c r="BC54" s="111" t="str">
        <f t="shared" si="2088"/>
        <v/>
      </c>
      <c r="BD54" s="111" t="str">
        <f t="shared" si="2088"/>
        <v/>
      </c>
      <c r="BE54" s="110" t="str">
        <f t="shared" ref="BE54" si="2089">IF($E54="H","HybridDD_Value","Data!$BI$1:$BI$5")</f>
        <v>Data!$BI$1:$BI$5</v>
      </c>
      <c r="BF54" s="110" t="str">
        <f t="shared" si="1762"/>
        <v>Data!$BI$1:$BI$5</v>
      </c>
      <c r="BG54" s="110" t="str">
        <f t="shared" si="1762"/>
        <v>Data!$BI$1:$BI$5</v>
      </c>
      <c r="BH54" s="110" t="str">
        <f t="shared" si="1762"/>
        <v>Data!$BI$1:$BI$5</v>
      </c>
      <c r="BI54" s="110" t="str">
        <f t="shared" si="1762"/>
        <v>Data!$BI$1:$BI$5</v>
      </c>
      <c r="BJ54" s="110" t="str">
        <f t="shared" si="1762"/>
        <v>Data!$BI$1:$BI$5</v>
      </c>
      <c r="BK54" s="110" t="str">
        <f t="shared" si="1762"/>
        <v>Data!$BI$1:$BI$5</v>
      </c>
      <c r="BL54" s="110" t="str">
        <f t="shared" si="1762"/>
        <v>Data!$BI$1:$BI$5</v>
      </c>
      <c r="BM54" s="110" t="str">
        <f t="shared" si="1762"/>
        <v>Data!$BI$1:$BI$5</v>
      </c>
      <c r="BN54" s="110" t="str">
        <f t="shared" si="1762"/>
        <v>Data!$BI$1:$BI$5</v>
      </c>
      <c r="BO54" s="110" t="str">
        <f t="shared" si="1762"/>
        <v>Data!$BI$1:$BI$5</v>
      </c>
      <c r="BP54" s="121"/>
      <c r="BQ54" s="121"/>
      <c r="BR54" s="122" t="str">
        <f>IFERROR(IF(AND($BS$6="T",$BS$8="T",LEFT(F53,4)="Acro",AE54&gt;3),"X",IF($N$7="X",IF(AND(E54="C",AE54&gt;$CA$6),"X",IF(AND(E54="A",AE54&gt;$CA$4),"X",IF(AND(E54="B",AE54&gt;$CA$5),"X",IF(AND(E54="P",AE54&gt;$CA$7),"X","")))),"")),"")</f>
        <v/>
      </c>
      <c r="BS54" s="114"/>
      <c r="BU54" s="108"/>
      <c r="BV54" s="111" t="str">
        <f>IF(F54="Hybrid",SECOND(BS54),"")</f>
        <v/>
      </c>
      <c r="CA54" s="111"/>
      <c r="CB54" s="111"/>
      <c r="CC54" s="111"/>
      <c r="CG54" s="108" t="str">
        <f t="shared" si="1891"/>
        <v/>
      </c>
      <c r="CH54" s="108" t="str">
        <f t="shared" si="1892"/>
        <v/>
      </c>
      <c r="CI54" s="108" t="str">
        <f t="shared" si="1893"/>
        <v/>
      </c>
      <c r="CJ54" s="108" t="str">
        <f t="shared" si="1894"/>
        <v/>
      </c>
      <c r="CR54" s="108">
        <v>36</v>
      </c>
      <c r="DI54" s="108" t="str" cm="1">
        <f t="array" ref="DI54">IFERROR(INDEX(DK54:ED54,MATCH(TRUE,INDEX((DK54:ED54&lt;&gt;""),),0)),"")</f>
        <v/>
      </c>
      <c r="DK54" s="108" t="str">
        <f t="shared" ref="DK54" si="2090">IF(F53="Hybrid - Thrust + 2 connections",IF(COUNTIF($DK53:$ED53,DK53)&gt;1,DK53,""),IF(COUNTIF($DK53:$ED53,DK53)&gt;5,DK53,""))</f>
        <v/>
      </c>
      <c r="DL54" s="108" t="str">
        <f t="shared" ref="DL54" si="2091">IF(G53="Hybrid - Thrust + 2 connections",IF(COUNTIF($DK53:$ED53,DL53)&gt;1,DL53,""),IF(COUNTIF($DK53:$ED53,DL53)&gt;5,DL53,""))</f>
        <v/>
      </c>
      <c r="DM54" s="108" t="str">
        <f t="shared" ref="DM54" si="2092">IF(H53="Hybrid - Thrust + 2 connections",IF(COUNTIF($DK53:$ED53,DM53)&gt;1,DM53,""),IF(COUNTIF($DK53:$ED53,DM53)&gt;5,DM53,""))</f>
        <v/>
      </c>
      <c r="DN54" s="108" t="str">
        <f t="shared" ref="DN54" si="2093">IF(I53="Hybrid - Thrust + 2 connections",IF(COUNTIF($DK53:$ED53,DN53)&gt;1,DN53,""),IF(COUNTIF($DK53:$ED53,DN53)&gt;5,DN53,""))</f>
        <v/>
      </c>
      <c r="DO54" s="108" t="str">
        <f t="shared" ref="DO54" si="2094">IF(J53="Hybrid - Thrust + 2 connections",IF(COUNTIF($DK53:$ED53,DO53)&gt;1,DO53,""),IF(COUNTIF($DK53:$ED53,DO53)&gt;5,DO53,""))</f>
        <v/>
      </c>
      <c r="DP54" s="108" t="str">
        <f t="shared" ref="DP54" si="2095">IF(K53="Hybrid - Thrust + 2 connections",IF(COUNTIF($DK53:$ED53,DP53)&gt;1,DP53,""),IF(COUNTIF($DK53:$ED53,DP53)&gt;5,DP53,""))</f>
        <v/>
      </c>
      <c r="DQ54" s="108" t="str">
        <f t="shared" ref="DQ54" si="2096">IF(L53="Hybrid - Thrust + 2 connections",IF(COUNTIF($DK53:$ED53,DQ53)&gt;1,DQ53,""),IF(COUNTIF($DK53:$ED53,DQ53)&gt;5,DQ53,""))</f>
        <v/>
      </c>
      <c r="DR54" s="108" t="str">
        <f t="shared" ref="DR54" si="2097">IF(M53="Hybrid - Thrust + 2 connections",IF(COUNTIF($DK53:$ED53,DR53)&gt;1,DR53,""),IF(COUNTIF($DK53:$ED53,DR53)&gt;5,DR53,""))</f>
        <v/>
      </c>
      <c r="DS54" s="108" t="str">
        <f t="shared" ref="DS54" si="2098">IF(N53="Hybrid - Thrust + 2 connections",IF(COUNTIF($DK53:$ED53,DS53)&gt;1,DS53,""),IF(COUNTIF($DK53:$ED53,DS53)&gt;5,DS53,""))</f>
        <v/>
      </c>
      <c r="DT54" s="108" t="str">
        <f t="shared" ref="DT54" si="2099">IF(O53="Hybrid - Thrust + 2 connections",IF(COUNTIF($DK53:$ED53,DT53)&gt;1,DT53,""),IF(COUNTIF($DK53:$ED53,DT53)&gt;5,DT53,""))</f>
        <v/>
      </c>
      <c r="DU54" s="108" t="str">
        <f t="shared" ref="DU54" si="2100">IF(P53="Hybrid - Thrust + 2 connections",IF(COUNTIF($DK53:$ED53,DU53)&gt;1,DU53,""),IF(COUNTIF($DK53:$ED53,DU53)&gt;5,DU53,""))</f>
        <v/>
      </c>
      <c r="DV54" s="108" t="str">
        <f t="shared" ref="DV54" si="2101">IF(Q53="Hybrid - Thrust + 2 connections",IF(COUNTIF($DK53:$ED53,DV53)&gt;1,DV53,""),IF(COUNTIF($DK53:$ED53,DV53)&gt;5,DV53,""))</f>
        <v/>
      </c>
      <c r="DW54" s="108" t="str">
        <f t="shared" ref="DW54" si="2102">IF(R53="Hybrid - Thrust + 2 connections",IF(COUNTIF($DK53:$ED53,DW53)&gt;1,DW53,""),IF(COUNTIF($DK53:$ED53,DW53)&gt;5,DW53,""))</f>
        <v/>
      </c>
      <c r="DX54" s="108" t="str">
        <f t="shared" ref="DX54" si="2103">IF(S53="Hybrid - Thrust + 2 connections",IF(COUNTIF($DK53:$ED53,DX53)&gt;1,DX53,""),IF(COUNTIF($DK53:$ED53,DX53)&gt;5,DX53,""))</f>
        <v/>
      </c>
      <c r="DY54" s="108" t="str">
        <f t="shared" ref="DY54" si="2104">IF(T53="Hybrid - Thrust + 2 connections",IF(COUNTIF($DK53:$ED53,DY53)&gt;1,DY53,""),IF(COUNTIF($DK53:$ED53,DY53)&gt;5,DY53,""))</f>
        <v/>
      </c>
      <c r="DZ54" s="108" t="str">
        <f t="shared" ref="DZ54" si="2105">IF(U53="Hybrid - Thrust + 2 connections",IF(COUNTIF($DK53:$ED53,DZ53)&gt;1,DZ53,""),IF(COUNTIF($DK53:$ED53,DZ53)&gt;5,DZ53,""))</f>
        <v/>
      </c>
      <c r="EA54" s="108" t="str">
        <f t="shared" ref="EA54" si="2106">IF(V53="Hybrid - Thrust + 2 connections",IF(COUNTIF($DK53:$ED53,EA53)&gt;1,EA53,""),IF(COUNTIF($DK53:$ED53,EA53)&gt;5,EA53,""))</f>
        <v/>
      </c>
      <c r="EB54" s="108" t="str">
        <f t="shared" ref="EB54" si="2107">IF(W53="Hybrid - Thrust + 2 connections",IF(COUNTIF($DK53:$ED53,EB53)&gt;1,EB53,""),IF(COUNTIF($DK53:$ED53,EB53)&gt;5,EB53,""))</f>
        <v/>
      </c>
      <c r="EC54" s="108" t="str">
        <f t="shared" ref="EC54" si="2108">IF(X53="Hybrid - Thrust + 2 connections",IF(COUNTIF($DK53:$ED53,EC53)&gt;1,EC53,""),IF(COUNTIF($DK53:$ED53,EC53)&gt;5,EC53,""))</f>
        <v/>
      </c>
      <c r="ED54" s="108" t="str">
        <f t="shared" ref="ED54" si="2109">IF(Y53="Hybrid - Thrust + 2 connections",IF(COUNTIF($DK53:$ED53,ED53)&gt;1,ED53,""),IF(COUNTIF($DK53:$ED53,ED53)&gt;5,ED53,""))</f>
        <v/>
      </c>
      <c r="EE54" s="108"/>
      <c r="EF54" s="108" t="str" cm="1">
        <f t="array" ref="EF54">IFERROR(INDEX(EG54:EZ54,MATCH(TRUE,INDEX((EG54:EZ54&lt;&gt;""),),0)),"")</f>
        <v/>
      </c>
      <c r="EG54" s="108" t="str">
        <f t="shared" ref="EG54" si="2110">IF(COUNTIF($EG53:$EZ53,EG53)&gt;3,EG53,"")</f>
        <v/>
      </c>
      <c r="EH54" s="108" t="str">
        <f t="shared" ref="EH54" si="2111">IF(COUNTIF($EG53:$EZ53,EH53)&gt;3,EH53,"")</f>
        <v/>
      </c>
      <c r="EI54" s="108" t="str">
        <f t="shared" ref="EI54" si="2112">IF(COUNTIF($EG53:$EZ53,EI53)&gt;3,EI53,"")</f>
        <v/>
      </c>
      <c r="EJ54" s="108" t="str">
        <f t="shared" ref="EJ54" si="2113">IF(COUNTIF($EG53:$EZ53,EJ53)&gt;3,EJ53,"")</f>
        <v/>
      </c>
      <c r="EK54" s="108" t="str">
        <f t="shared" ref="EK54" si="2114">IF(COUNTIF($EG53:$EZ53,EK53)&gt;3,EK53,"")</f>
        <v/>
      </c>
      <c r="EL54" s="108" t="str">
        <f t="shared" ref="EL54" si="2115">IF(COUNTIF($EG53:$EZ53,EL53)&gt;3,EL53,"")</f>
        <v/>
      </c>
      <c r="EM54" s="108" t="str">
        <f t="shared" ref="EM54" si="2116">IF(COUNTIF($EG53:$EZ53,EM53)&gt;3,EM53,"")</f>
        <v/>
      </c>
      <c r="EN54" s="108" t="str">
        <f t="shared" ref="EN54" si="2117">IF(COUNTIF($EG53:$EZ53,EN53)&gt;3,EN53,"")</f>
        <v/>
      </c>
      <c r="EO54" s="108" t="str">
        <f t="shared" ref="EO54" si="2118">IF(COUNTIF($EG53:$EZ53,EO53)&gt;3,EO53,"")</f>
        <v/>
      </c>
      <c r="EP54" s="108" t="str">
        <f t="shared" ref="EP54" si="2119">IF(COUNTIF($EG53:$EZ53,EP53)&gt;3,EP53,"")</f>
        <v/>
      </c>
      <c r="EQ54" s="108" t="str">
        <f t="shared" ref="EQ54" si="2120">IF(COUNTIF($EG53:$EZ53,EQ53)&gt;3,EQ53,"")</f>
        <v/>
      </c>
      <c r="ER54" s="108" t="str">
        <f t="shared" ref="ER54" si="2121">IF(COUNTIF($EG53:$EZ53,ER53)&gt;3,ER53,"")</f>
        <v/>
      </c>
      <c r="ES54" s="108" t="str">
        <f t="shared" ref="ES54" si="2122">IF(COUNTIF($EG53:$EZ53,ES53)&gt;3,ES53,"")</f>
        <v/>
      </c>
      <c r="ET54" s="108" t="str">
        <f t="shared" ref="ET54" si="2123">IF(COUNTIF($EG53:$EZ53,ET53)&gt;3,ET53,"")</f>
        <v/>
      </c>
      <c r="EU54" s="108" t="str">
        <f t="shared" ref="EU54" si="2124">IF(COUNTIF($EG53:$EZ53,EU53)&gt;3,EU53,"")</f>
        <v/>
      </c>
      <c r="EV54" s="108" t="str">
        <f t="shared" ref="EV54" si="2125">IF(COUNTIF($EG53:$EZ53,EV53)&gt;3,EV53,"")</f>
        <v/>
      </c>
      <c r="EW54" s="108" t="str">
        <f t="shared" ref="EW54" si="2126">IF(COUNTIF($EG53:$EZ53,EW53)&gt;3,EW53,"")</f>
        <v/>
      </c>
      <c r="EX54" s="108" t="str">
        <f t="shared" ref="EX54" si="2127">IF(COUNTIF($EG53:$EZ53,EX53)&gt;3,EX53,"")</f>
        <v/>
      </c>
      <c r="EY54" s="108" t="str">
        <f t="shared" ref="EY54" si="2128">IF(COUNTIF($EG53:$EZ53,EY53)&gt;3,EY53,"")</f>
        <v/>
      </c>
      <c r="EZ54" s="108" t="str">
        <f t="shared" ref="EZ54" si="2129">IF(COUNTIF($EG53:$EZ53,EZ53)&gt;3,EZ53,"")</f>
        <v/>
      </c>
      <c r="FA54" s="108"/>
      <c r="FB54" s="108"/>
      <c r="FC54" s="108"/>
      <c r="FD54" s="108"/>
      <c r="FE54" s="108"/>
      <c r="FF54" s="108"/>
      <c r="FG54" s="108"/>
      <c r="FH54" s="108"/>
      <c r="FI54" s="108" t="str">
        <f t="shared" ref="FI54" si="2130">IF($F53="Hybrid - Thrust + 2 connections",COUNTBLANK(J53:L53),"")</f>
        <v/>
      </c>
      <c r="FJ54" s="108"/>
      <c r="FN54" s="111"/>
    </row>
    <row r="55" spans="1:170" x14ac:dyDescent="0.3">
      <c r="A55" s="40" t="str">
        <f>IF(AND(E53="",A53&lt;&gt;""),IF(BS53=$BS$18,"",IF(C53&lt;&gt;"",IF(D53=59,MINUTE(BS53)+1,MINUTE(BS53)),"")),"")</f>
        <v/>
      </c>
      <c r="B55" s="41" t="str">
        <f>IF(AND(E53="",B53&lt;&gt;""),IF(BS53=$BS$18,"",IF(C53&lt;&gt;"",IF(D53=59,0,SECOND(BS53)+1),"")),"")</f>
        <v/>
      </c>
      <c r="C55" s="51"/>
      <c r="D55" s="51"/>
      <c r="E55" s="9"/>
      <c r="F55" s="52"/>
      <c r="G55" s="43" t="str">
        <f>IF(F55&lt;&gt;"",IF(OR(F55="Transition",F55="Transition - Surface Connection"),0,MAX($G$19:G54)+1),"")</f>
        <v/>
      </c>
      <c r="H55" s="57" t="str">
        <f t="shared" ref="H55" si="2131">IFERROR(IF(E56="3","",IF(OR(F55="Hybrid - min 4 swimmers (no DD)",LEFT(F55,5)="Trans"),"No DD",CONCATENATE("BM = ",I56))),"")</f>
        <v/>
      </c>
      <c r="I55" s="58"/>
      <c r="J55" s="130"/>
      <c r="K55" s="137"/>
      <c r="L55" s="137"/>
      <c r="M55" s="137"/>
      <c r="N55" s="137"/>
      <c r="O55" s="137"/>
      <c r="P55" s="137"/>
      <c r="Q55" s="137"/>
      <c r="R55" s="137"/>
      <c r="S55" s="137"/>
      <c r="T55" s="137"/>
      <c r="U55" s="137"/>
      <c r="V55" s="137"/>
      <c r="W55" s="137"/>
      <c r="X55" s="137"/>
      <c r="Y55" s="137"/>
      <c r="Z55" s="137"/>
      <c r="AA55" s="137"/>
      <c r="AB55" s="137"/>
      <c r="AC55" s="137"/>
      <c r="AD55" s="191"/>
      <c r="AE55" s="44"/>
      <c r="AF55" s="75"/>
      <c r="AG55" s="75"/>
      <c r="AH55" s="110"/>
      <c r="AI55" s="110"/>
      <c r="AJ55" s="110"/>
      <c r="AK55" s="110"/>
      <c r="AL55" s="110"/>
      <c r="AM55" s="110"/>
      <c r="AN55" s="110"/>
      <c r="AO55" s="110"/>
      <c r="AP55" s="110"/>
      <c r="AQ55" s="110"/>
      <c r="AR55" s="110"/>
      <c r="AS55" s="110"/>
      <c r="AT55" s="110" t="str">
        <f>IFERROR(IF(F55&lt;&gt;"",INDEX(Parts_Active,MATCH(F55,Parts_Active,0)),""),"No")</f>
        <v/>
      </c>
      <c r="AU55" s="110"/>
      <c r="AV55" s="110" t="str">
        <f t="shared" ref="AV55" si="2132">IF($E56="H",IF($F55="Hybrid - Thrust + 2 connections","Hybrid_Mix_Req","HybridDD_Code"),IF($E56=3,"TreDD_Code",IF($E56="PA","AcroPair_Code",IF(LEFT($F55,4)="Acro",CONCATENATE(AV$16,$E56,"_Code"),"Data!$BI$1:$BI$5"))))</f>
        <v>Data!$BI$1:$BI$5</v>
      </c>
      <c r="AW55" s="110" t="str">
        <f t="shared" ref="AW55" si="2133">IF($E56="H",IF($F55="Hybrid - Thrust + 2 connections","Hybrid_Mix_Req","HybridDD_Code"),IF($E56=3,"TreDD_Code",IF($E56="PA","AcroPair_Code",IF(LEFT($F55,4)="Acro",CONCATENATE(AW$16,$E56,"_Code"),"Data!$BI$1:$BI$5"))))</f>
        <v>Data!$BI$1:$BI$5</v>
      </c>
      <c r="AX55" s="110" t="str">
        <f t="shared" ref="AX55" si="2134">IF($E56="H",IF($F55="Hybrid - Thrust + 2 connections","Hybrid_Mix_Req","HybridDD_Code"),IF($E56=3,"TreDD_Code",IF($E56="PA","AcroPair_Code",IF(LEFT($F55,4)="Acro",CONCATENATE(AX$16,$E56,"_Code"),"Data!$BI$1:$BI$5"))))</f>
        <v>Data!$BI$1:$BI$5</v>
      </c>
      <c r="AY55" s="110" t="str">
        <f t="shared" ref="AY55" si="2135">IF($E56="H",IF($F55="Hybrid - Thrust + 2 connections","Data!$BI$1:$BI$5","HybridDD_Code"),IF($E56=3,"Data!$BI$1:$BI$5",IF(LEFT($F55,4)="Acro",CONCATENATE(AY$16,$E56,"_Code"),IF($E56="PA","","Data!$BI$1:$BI$5"))))</f>
        <v>Data!$BI$1:$BI$5</v>
      </c>
      <c r="AZ55" s="110" t="str">
        <f t="shared" ref="AZ55" si="2136">IF($E56="H",IF($F55="Hybrid - Thrust + 2 connections","Data!$BI$1:$BI$5","HybridDD_Code"),IF($E56=3,"Data!$BI$1:$BI$5",IF(LEFT($F55,4)="Acro",CONCATENATE(AZ$16,$E56,"_Code"),IF($E56="PA","","Data!$BI$1:$BI$5"))))</f>
        <v>Data!$BI$1:$BI$5</v>
      </c>
      <c r="BA55" s="110" t="str">
        <f t="shared" ref="BA55" si="2137">IF($E56="H",IF($F55="Hybrid - Thrust + 2 connections","Data!$BI$1:$BI$5","HybridDD_Code"),IF($E56=3,"Data!$BI$1:$BI$5",IF(LEFT($F55,4)="Acro",CONCATENATE(BA$16,$E56,"_Code"),IF($E56="PA","","Data!$BI$1:$BI$5"))))</f>
        <v>Data!$BI$1:$BI$5</v>
      </c>
      <c r="BB55" s="110" t="str">
        <f t="shared" ref="BB55" si="2138">IF($E56="H",IF($F55="Hybrid - Thrust + 2 connections","Data!$BI$1:$BI$5","HybridDD_Code"),IF($E56=3,"Data!$BI$1:$BI$5",IF(LEFT($F55,4)="Acro",CONCATENATE(BB$16,$E56,"_Code"),IF($E56="PA","","Data!$BI$1:$BI$5"))))</f>
        <v>Data!$BI$1:$BI$5</v>
      </c>
      <c r="BC55" s="110" t="str">
        <f t="shared" ref="BC55" si="2139">IF($E56="H",IF($F55="Hybrid - Thrust + 2 connections","Data!$BI$1:$BI$5","HybridDD_Code"),IF($E56=3,"Data!$BI$1:$BI$5",IF(LEFT($F55,4)="Acro",CONCATENATE(BC$16,$E56,"_Code"),IF($E56="PA","","Data!$BI$1:$BI$5"))))</f>
        <v>Data!$BI$1:$BI$5</v>
      </c>
      <c r="BD55" s="110" t="str">
        <f t="shared" ref="BD55" si="2140">IF($E56="H",IF($F55="Hybrid - Thrust + 2 connections","Data!$BI$1:$BI$5","HybridDD_Code"),IF($E56=3,"Data!$BI$1:$BI$5",IF(LEFT($F55,4)="Acro",CONCATENATE(BD$16,$E56,"_Code"),IF($E56="PA","","Data!$BI$1:$BI$5"))))</f>
        <v>Data!$BI$1:$BI$5</v>
      </c>
      <c r="BE55" s="110" t="str">
        <f t="shared" ref="BE55" si="2141">IF($E56="H",IF($F55="Hybrid - Thrust + 2 connections","Data!$BI$1:$BI$5","HybridDD_Code"),"Data!$BI$1:$BI$5")</f>
        <v>Data!$BI$1:$BI$5</v>
      </c>
      <c r="BF55" s="110" t="str">
        <f t="shared" si="1762"/>
        <v>Data!$BI$1:$BI$5</v>
      </c>
      <c r="BG55" s="110" t="str">
        <f t="shared" si="1762"/>
        <v>Data!$BI$1:$BI$5</v>
      </c>
      <c r="BH55" s="110" t="str">
        <f t="shared" si="1762"/>
        <v>Data!$BI$1:$BI$5</v>
      </c>
      <c r="BI55" s="110" t="str">
        <f t="shared" si="1762"/>
        <v>Data!$BI$1:$BI$5</v>
      </c>
      <c r="BJ55" s="110" t="str">
        <f t="shared" si="1762"/>
        <v>Data!$BI$1:$BI$5</v>
      </c>
      <c r="BK55" s="110" t="str">
        <f t="shared" si="1762"/>
        <v>Data!$BI$1:$BI$5</v>
      </c>
      <c r="BL55" s="110" t="str">
        <f t="shared" si="1762"/>
        <v>Data!$BI$1:$BI$5</v>
      </c>
      <c r="BM55" s="110" t="str">
        <f t="shared" si="1762"/>
        <v>Data!$BI$1:$BI$5</v>
      </c>
      <c r="BN55" s="110" t="str">
        <f t="shared" si="1762"/>
        <v>Data!$BI$1:$BI$5</v>
      </c>
      <c r="BO55" s="110" t="str">
        <f t="shared" si="1762"/>
        <v>Data!$BI$1:$BI$5</v>
      </c>
      <c r="BP55" s="110"/>
      <c r="BQ55" s="110"/>
      <c r="BR55" s="113" t="str">
        <f t="shared" ref="BR55" si="2142">IFERROR(TIME(0,A55,B55),"")</f>
        <v/>
      </c>
      <c r="BS55" s="114">
        <f>IFERROR(TIME(0,C55,D55),"")</f>
        <v>0</v>
      </c>
      <c r="BT55" s="114" t="str">
        <f t="shared" ref="BT55" si="2143">IF(BS55&gt;$D$12,"X","")</f>
        <v/>
      </c>
      <c r="BU55" s="108" t="str">
        <f>IF(AND(F55="Hybrid - Thrust + 2 connections",OR(LEFT(J55,1)="T",LEFT(K55,1)="T",LEFT(L55,1)="T",LEFT(NG55,1)="T",LEFT(M55,1)="T",LEFT(N55,1)="T",LEFT(O55,1)="T",LEFT(P55,1)="T",LEFT(Q55,1)="T",LEFT(R55,1)="T",LEFT(S55,1)="T",LEFT(T55,1)="T",LEFT(U55,1)="T",LEFT(V55,1)="T",LEFT(W55,1)="T",LEFT(X55,1)="T",LEFT(AA55,1)="T",LEFT(AB55,1)="T",LEFT(AC55,1)="T")),IF(OR(LEN(J55)=2,LEN(K55)=2,LEN(L55)=2,LEN(M55)=2,LEN(N55)=2,LEN(O55)=2,LEN(P55)=2,LEN(Q55)=2,LEN(R55)=2,LEN(S55)=2,LEN(T55)=2,LEN(U55)=2,LEN(V55)=2,LEN(W55)=2,LEN(X55)=2,LEN(Y55)=2,LEN(Z55)=2,LEN(AA55)=2,LEN(AB55)=2,LEN(AC55)=2),"X",""),"")</f>
        <v/>
      </c>
      <c r="BV55" s="111" t="str">
        <f>IF(F55="Hybrid",SECOND(BS55),"")</f>
        <v/>
      </c>
      <c r="BW55" s="108" t="str">
        <f>IF(LEFT(F55,4)="Acro",IF(AND(N55&lt;&gt;"",M55=RIGHT(N55,2)),"X","OK"),"")</f>
        <v/>
      </c>
      <c r="BX55" s="110" t="str">
        <f t="shared" ref="BX55:CE55" si="2144">IFERROR(IF(AND(LEFT($F55,4)="Acro",INDEX(Requ_App,MATCH(AV55,Requ_Code,0))="No"),"X",""),"")</f>
        <v/>
      </c>
      <c r="BY55" s="110" t="str">
        <f t="shared" si="2144"/>
        <v/>
      </c>
      <c r="BZ55" s="110" t="str">
        <f t="shared" si="2144"/>
        <v/>
      </c>
      <c r="CA55" s="110" t="str">
        <f t="shared" si="2144"/>
        <v/>
      </c>
      <c r="CB55" s="110" t="str">
        <f t="shared" si="2144"/>
        <v/>
      </c>
      <c r="CC55" s="110" t="str">
        <f t="shared" si="2144"/>
        <v/>
      </c>
      <c r="CD55" s="110" t="str">
        <f t="shared" si="2144"/>
        <v/>
      </c>
      <c r="CE55" s="110" t="str">
        <f t="shared" si="2144"/>
        <v/>
      </c>
      <c r="CF55" s="110" t="str">
        <f>IFERROR(IF(AND(LEFT($F55,4)="Acro",INDEX(Requ_App,MATCH(BC55,Requ_Code,0))="No"),"X",""),"")</f>
        <v/>
      </c>
      <c r="CG55" s="108" t="str">
        <f t="shared" si="1891"/>
        <v/>
      </c>
      <c r="CH55" s="108" t="str">
        <f t="shared" si="1892"/>
        <v/>
      </c>
      <c r="CI55" s="108" t="str">
        <f t="shared" si="1893"/>
        <v/>
      </c>
      <c r="CJ55" s="108" t="str">
        <f t="shared" si="1894"/>
        <v/>
      </c>
      <c r="CN55" s="108">
        <f t="shared" ref="CN55" si="2145">IF(AND(E56="A",OR(Q55="Grip",Q55="Conn",Q55="Catch")),"A1",IF(AND(E56="A",OR(Q55="Hula",Q55="RetSq",Q55="RetPa")),"A2",IF(AND(E56="B",OR(Q55="Twirl",Q55="RotF")),"B1",IF(AND(E56="B",OR(Q55="Moon",Q55="Mov")),"B2",IF(AND(E56="B",Q55="Hold"),"B3",IF(AND(E56="P",OR(Q55="Porp",Q55="Spitch")),"P1",IF(AND(E56="P",OR(Q55="Dive",Q55="Ps1",Q55="Ps1t0.5",Q55="Ps1op",Q55="Ps1t0,5o",Q55="Ps1t1",Q55="CH+")),"P2",IF(AND(E56="P",OR(Q55="Spider",Q55="Climb")),"P3",IF(AND(E56="P",OR(Q55="Fall",Q55="FTurn")),"P4",IF(AND(E56="C",OR(Q55="Jump",Q55="Jump&gt;",Q55="On1Foot",Q55="1F&gt;1F")),"C1",IF(AND(E56="C",OR(Q55="Run",Q55="BRun")),"C2",1)))))))))))</f>
        <v>1</v>
      </c>
      <c r="CO55" s="108">
        <f t="shared" ref="CO55" si="2146">IF(AND(E56="A",OR(R55="Grip",R55="Conn",R55="Catch")),"A1",IF(AND(E56="A",OR(R55="Hula",R55="RetSq",R55="RetPa")),"A2",IF(AND(E56="B",OR(R55="Twirl",R55="RotF")),"B1",IF(AND(E56="B",OR(R55="Moon",R55="Mov")),"B3",IF(AND(E56="B",R55="Hold"),"B2",IF(AND(E56="P",OR(R55="Porp",R55="Spitch")),"P1",IF(AND(E56="P",OR(R55="Dive",R55="Ps1",R55="Ps1t0.5",R55="Ps1op",R55="Ps1t0,5o",R55="Ps1t1",R55="CH+")),"P2",IF(AND(E56="P",OR(R55="Spider",R55="Climb")),"P3",IF(AND(E56="P",OR(R55="Fall",R55="FTurn")),"P4",IF(AND(E56="C",OR(R55="Jump",R55="Jump&gt;",R55="On1Foot",R55="1F&gt;1F")),"C1",IF(AND(E56="C",OR(R55="Run",R55="BRun")),"C2",2)))))))))))</f>
        <v>2</v>
      </c>
      <c r="CP55" s="108" t="str">
        <f t="shared" ref="CP55" si="2147">IF(AND(LEFT(F55,4)="Acro",Q55&lt;&gt;"",OR(Q55=R55,CN55=CO55)),IF(R55="C-Roll","","X"),IF(OR(AND(E56="A",Q55="Catch",R55&lt;&gt;"Dbl"),AND(E56="A",R55="Catch",Q55&lt;&gt;"Dbl")),"X",""))</f>
        <v/>
      </c>
      <c r="CQ55" s="108" t="str">
        <f t="shared" ref="CQ55" si="2148">IF(E56="PA",J55,"")</f>
        <v/>
      </c>
      <c r="CR55" s="108">
        <v>37</v>
      </c>
      <c r="CT55" s="108" t="str">
        <f t="shared" ref="CT55" si="2149">IF(AND($E56="A",COUNTIF($DC$19:$DD$68,DC55)&gt;1),DC55,"")</f>
        <v/>
      </c>
      <c r="CU55" s="108" t="str">
        <f t="shared" ref="CU55" si="2150">IF(AND($E56="A",COUNTIF($DC$19:$DD$68,DD55)&gt;1),DD55,"")</f>
        <v/>
      </c>
      <c r="CV55" s="108" t="str">
        <f t="shared" ref="CV55" ca="1" si="2151">IF(AND($E56="B",COUNTIF($J$19:$J$68,J55)&gt;1),J55,"")</f>
        <v/>
      </c>
      <c r="CW55" s="108" t="str">
        <f t="shared" ref="CW55" ca="1" si="2152">IF(AND($E56="B",COUNTIF($K$19:$K$68,K55)&gt;1),K55,"")</f>
        <v/>
      </c>
      <c r="CX55" s="108" t="str">
        <f t="shared" ref="CX55" ca="1" si="2153">IF(AND($E56="C",COUNTIF($J$19:$J$68,J55)&gt;1),J55,"")</f>
        <v/>
      </c>
      <c r="CY55" s="108" t="str">
        <f t="shared" ref="CY55" ca="1" si="2154">IF(AND($E56="P",COUNTIF($J$19:$J$68,J55)&gt;1),J55,"")</f>
        <v/>
      </c>
      <c r="CZ55" s="108" t="str">
        <f t="shared" ref="CZ55" ca="1" si="2155">IF(AND($E56="P",COUNTIF($K$19:$K$68,K55)&gt;1),K55,"")</f>
        <v/>
      </c>
      <c r="DA55" s="108" t="str">
        <f t="shared" ref="DA55" si="2156">IF(AND($E56="P",COUNTIF($DC$19:$DD$68,DC55)&gt;1),DC55,"")</f>
        <v/>
      </c>
      <c r="DB55" s="108" t="str">
        <f t="shared" ref="DB55" si="2157">IF(AND($E56="P",COUNTIF($DC$19:$DD$68,DD55)&gt;1),DD55,"")</f>
        <v/>
      </c>
      <c r="DC55" s="108" t="str">
        <f t="shared" ref="DC55" si="2158">IFERROR(IF(OR(E56="A",E56="P"),M55,""),"")</f>
        <v/>
      </c>
      <c r="DD55" s="108" t="str">
        <f t="shared" ref="DD55" si="2159">IFERROR(IF(OR(E56="A",E56="P"),RIGHT(N55,2),""),"")</f>
        <v/>
      </c>
      <c r="DF55" s="108" t="str">
        <f t="shared" ref="DF55" si="2160">IF(AND($F$8="Open Team Acrobatic",LEFT(F55,4)="Acro"),E56,"")</f>
        <v/>
      </c>
      <c r="DG55" s="108" t="str">
        <f t="shared" ref="DG55" si="2161">IFERROR(IF(HLOOKUP(DF55,$DD$12:$DG$13,2,FALSE)&gt;2,"X",""),"")</f>
        <v/>
      </c>
      <c r="DI55" s="108" t="str">
        <f t="shared" ref="DI55" si="2162">IF(OR(AND(F55="Hybrid - Thrust + 2 connections",DI56="T"),AND(F55="Hybrid - Free",DI56&lt;&gt;"")),"X","")</f>
        <v/>
      </c>
      <c r="DK55" s="108">
        <f t="shared" ref="DK55" si="2163">IFERROR(IF(AND($E56="H",J55&lt;&gt;""),IF(OR(LEFT(J55,1)="T",LEFT(J55,1)="S",LEFT(J55,1)="A",LEFT(J55,1)="F",LEFT(J55,1)="C"),LEFT(J55,1),"R"),DK$18),"")</f>
        <v>1</v>
      </c>
      <c r="DL55" s="108">
        <f t="shared" ref="DL55" si="2164">IFERROR(IF(AND($E56="H",K55&lt;&gt;""),IF(OR(LEFT(K55,1)="T",LEFT(K55,1)="S",LEFT(K55,1)="A",LEFT(K55,1)="F",LEFT(K55,1)="C"),LEFT(K55,1),"R"),DL$18),"")</f>
        <v>2</v>
      </c>
      <c r="DM55" s="108">
        <f t="shared" ref="DM55" si="2165">IFERROR(IF(AND($E56="H",L55&lt;&gt;""),IF(OR(LEFT(L55,1)="T",LEFT(L55,1)="S",LEFT(L55,1)="A",LEFT(L55,1)="F",LEFT(L55,1)="C"),LEFT(L55,1),"R"),DM$18),"")</f>
        <v>3</v>
      </c>
      <c r="DN55" s="108">
        <f t="shared" ref="DN55" si="2166">IFERROR(IF(AND($E56="H",M55&lt;&gt;""),IF(OR(LEFT(M55,1)="T",LEFT(M55,1)="S",LEFT(M55,1)="A",LEFT(M55,1)="F",LEFT(M55,1)="C"),LEFT(M55,1),"R"),DN$18),"")</f>
        <v>4</v>
      </c>
      <c r="DO55" s="108">
        <f t="shared" ref="DO55" si="2167">IFERROR(IF(AND($E56="H",N55&lt;&gt;""),IF(OR(LEFT(N55,1)="T",LEFT(N55,1)="S",LEFT(N55,1)="A",LEFT(N55,1)="F",LEFT(N55,1)="C"),LEFT(N55,1),"R"),DO$18),"")</f>
        <v>5</v>
      </c>
      <c r="DP55" s="108">
        <f t="shared" ref="DP55" si="2168">IFERROR(IF(AND($E56="H",O55&lt;&gt;""),IF(OR(LEFT(O55,1)="T",LEFT(O55,1)="S",LEFT(O55,1)="A",LEFT(O55,1)="F",LEFT(O55,1)="C"),LEFT(O55,1),"R"),DP$18),"")</f>
        <v>6</v>
      </c>
      <c r="DQ55" s="108">
        <f t="shared" ref="DQ55" si="2169">IFERROR(IF(AND($E56="H",P55&lt;&gt;""),IF(OR(LEFT(P55,1)="T",LEFT(P55,1)="S",LEFT(P55,1)="A",LEFT(P55,1)="F",LEFT(P55,1)="C"),LEFT(P55,1),"R"),DQ$18),"")</f>
        <v>7</v>
      </c>
      <c r="DR55" s="108">
        <f t="shared" ref="DR55" si="2170">IFERROR(IF(AND($E56="H",Q55&lt;&gt;""),IF(OR(LEFT(Q55,1)="T",LEFT(Q55,1)="S",LEFT(Q55,1)="A",LEFT(Q55,1)="F",LEFT(Q55,1)="C"),LEFT(Q55,1),"R"),DR$18),"")</f>
        <v>8</v>
      </c>
      <c r="DS55" s="108">
        <f t="shared" ref="DS55" si="2171">IFERROR(IF(AND($E56="H",R55&lt;&gt;""),IF(OR(LEFT(R55,1)="T",LEFT(R55,1)="S",LEFT(R55,1)="A",LEFT(R55,1)="F",LEFT(R55,1)="C"),LEFT(R55,1),"R"),DS$18),"")</f>
        <v>9</v>
      </c>
      <c r="DT55" s="108">
        <f t="shared" ref="DT55" si="2172">IFERROR(IF(AND($E56="H",S55&lt;&gt;""),IF(OR(LEFT(S55,1)="T",LEFT(S55,1)="S",LEFT(S55,1)="A",LEFT(S55,1)="F",LEFT(S55,1)="C"),LEFT(S55,1),"R"),DT$18),"")</f>
        <v>10</v>
      </c>
      <c r="DU55" s="108">
        <f t="shared" ref="DU55" si="2173">IFERROR(IF(AND($E56="H",T55&lt;&gt;""),IF(OR(LEFT(T55,1)="T",LEFT(T55,1)="S",LEFT(T55,1)="A",LEFT(T55,1)="F",LEFT(T55,1)="C"),LEFT(T55,1),"R"),DU$18),"")</f>
        <v>11</v>
      </c>
      <c r="DV55" s="108">
        <f t="shared" ref="DV55" si="2174">IFERROR(IF(AND($E56="H",U55&lt;&gt;""),IF(OR(LEFT(U55,1)="T",LEFT(U55,1)="S",LEFT(U55,1)="A",LEFT(U55,1)="F",LEFT(U55,1)="C"),LEFT(U55,1),"R"),DV$18),"")</f>
        <v>12</v>
      </c>
      <c r="DW55" s="108">
        <f t="shared" ref="DW55" si="2175">IFERROR(IF(AND($E56="H",V55&lt;&gt;""),IF(OR(LEFT(V55,1)="T",LEFT(V55,1)="S",LEFT(V55,1)="A",LEFT(V55,1)="F",LEFT(V55,1)="C"),LEFT(V55,1),"R"),DW$18),"")</f>
        <v>13</v>
      </c>
      <c r="DX55" s="108">
        <f t="shared" ref="DX55" si="2176">IFERROR(IF(AND($E56="H",W55&lt;&gt;""),IF(OR(LEFT(W55,1)="T",LEFT(W55,1)="S",LEFT(W55,1)="A",LEFT(W55,1)="F",LEFT(W55,1)="C"),LEFT(W55,1),"R"),DX$18),"")</f>
        <v>14</v>
      </c>
      <c r="DY55" s="108">
        <f t="shared" ref="DY55" si="2177">IFERROR(IF(AND($E56="H",X55&lt;&gt;""),IF(OR(LEFT(X55,1)="T",LEFT(X55,1)="S",LEFT(X55,1)="A",LEFT(X55,1)="F",LEFT(X55,1)="C"),LEFT(X55,1),"R"),DY$18),"")</f>
        <v>15</v>
      </c>
      <c r="DZ55" s="108">
        <f t="shared" ref="DZ55" si="2178">IFERROR(IF(AND($E56="H",Y55&lt;&gt;""),IF(OR(LEFT(Y55,1)="T",LEFT(Y55,1)="S",LEFT(Y55,1)="A",LEFT(Y55,1)="F",LEFT(Y55,1)="C"),LEFT(Y55,1),"R"),DZ$18),"")</f>
        <v>16</v>
      </c>
      <c r="EA55" s="108">
        <f t="shared" ref="EA55" si="2179">IFERROR(IF(AND($E56="H",Z55&lt;&gt;""),IF(OR(LEFT(Z55,1)="T",LEFT(Z55,1)="S",LEFT(Z55,1)="A",LEFT(Z55,1)="F",LEFT(Z55,1)="C"),LEFT(Z55,1),"R"),EA$18),"")</f>
        <v>17</v>
      </c>
      <c r="EB55" s="108">
        <f t="shared" ref="EB55" si="2180">IFERROR(IF(AND($E56="H",AA55&lt;&gt;""),IF(OR(LEFT(AA55,1)="T",LEFT(AA55,1)="S",LEFT(AA55,1)="A",LEFT(AA55,1)="F",LEFT(AA55,1)="C"),LEFT(AA55,1),"R"),EB$18),"")</f>
        <v>18</v>
      </c>
      <c r="EC55" s="108">
        <f t="shared" ref="EC55" si="2181">IFERROR(IF(AND($E56="H",AB55&lt;&gt;""),IF(OR(LEFT(AB55,1)="T",LEFT(AB55,1)="S",LEFT(AB55,1)="A",LEFT(AB55,1)="F",LEFT(AB55,1)="C"),LEFT(AB55,1),"R"),EC$18),"")</f>
        <v>19</v>
      </c>
      <c r="ED55" s="108">
        <f t="shared" ref="ED55" si="2182">IFERROR(IF(AND($E56="H",AC55&lt;&gt;""),IF(OR(LEFT(AC55,1)="T",LEFT(AC55,1)="S",LEFT(AC55,1)="A",LEFT(AC55,1)="F",LEFT(AC55,1)="C"),LEFT(AC55,1),"R"),ED$18),"")</f>
        <v>20</v>
      </c>
      <c r="EE55" s="108"/>
      <c r="EF55" s="108"/>
      <c r="EG55" s="108">
        <f t="shared" ref="EG55:EZ55" si="2183">IFERROR(IF(J55&lt;&gt;"",UPPER(J55),EG$18),EG$18)</f>
        <v>1</v>
      </c>
      <c r="EH55" s="108">
        <f t="shared" si="2183"/>
        <v>2</v>
      </c>
      <c r="EI55" s="108">
        <f t="shared" si="2183"/>
        <v>3</v>
      </c>
      <c r="EJ55" s="108">
        <f t="shared" si="2183"/>
        <v>4</v>
      </c>
      <c r="EK55" s="108">
        <f t="shared" si="2183"/>
        <v>5</v>
      </c>
      <c r="EL55" s="108">
        <f t="shared" si="2183"/>
        <v>6</v>
      </c>
      <c r="EM55" s="108">
        <f t="shared" si="2183"/>
        <v>7</v>
      </c>
      <c r="EN55" s="108">
        <f t="shared" si="2183"/>
        <v>8</v>
      </c>
      <c r="EO55" s="108">
        <f t="shared" si="2183"/>
        <v>9</v>
      </c>
      <c r="EP55" s="108">
        <f t="shared" si="2183"/>
        <v>10</v>
      </c>
      <c r="EQ55" s="108">
        <f t="shared" si="2183"/>
        <v>11</v>
      </c>
      <c r="ER55" s="108">
        <f t="shared" si="2183"/>
        <v>12</v>
      </c>
      <c r="ES55" s="108">
        <f t="shared" si="2183"/>
        <v>13</v>
      </c>
      <c r="ET55" s="108">
        <f t="shared" si="2183"/>
        <v>14</v>
      </c>
      <c r="EU55" s="108">
        <f t="shared" si="2183"/>
        <v>15</v>
      </c>
      <c r="EV55" s="108">
        <f t="shared" si="2183"/>
        <v>16</v>
      </c>
      <c r="EW55" s="108">
        <f t="shared" si="2183"/>
        <v>17</v>
      </c>
      <c r="EX55" s="108">
        <f t="shared" si="2183"/>
        <v>18</v>
      </c>
      <c r="EY55" s="108">
        <f t="shared" si="2183"/>
        <v>19</v>
      </c>
      <c r="EZ55" s="108">
        <f t="shared" si="2183"/>
        <v>20</v>
      </c>
      <c r="FA55" s="108"/>
      <c r="FB55" s="108">
        <f t="shared" ref="FB55" si="2184">COUNTIF($DK55:$ED55,FB$18)</f>
        <v>0</v>
      </c>
      <c r="FC55" s="108">
        <f t="shared" si="934"/>
        <v>0</v>
      </c>
      <c r="FD55" s="108">
        <f t="shared" si="934"/>
        <v>0</v>
      </c>
      <c r="FE55" s="108">
        <f t="shared" si="934"/>
        <v>0</v>
      </c>
      <c r="FF55" s="108">
        <f t="shared" si="934"/>
        <v>0</v>
      </c>
      <c r="FG55" s="108">
        <f t="shared" si="934"/>
        <v>0</v>
      </c>
      <c r="FH55" s="108"/>
      <c r="FI55" s="108" t="str">
        <f t="shared" ref="FI55" si="2185">IF(AND($F55="Hybrid - Thrust + 2 connections",FI56=0,LEFT($J55,1)="C",LEFT($K55,1)="C",LEFT($L55,1)="C"),"X","")</f>
        <v/>
      </c>
      <c r="FJ55" s="108"/>
      <c r="FL55" s="120" t="e">
        <f>IF(OR(LEFT(#REF!,2)="PL",LEFT(#REF!,2)="PL",LEFT(#REF!,2)="PL",LEFT(#REF!,2)="PL",LEFT(#REF!,2)="PL"),IF($BS$17-BR55&gt;$FL$17,"X",""),"")</f>
        <v>#REF!</v>
      </c>
      <c r="FM55" s="120"/>
      <c r="FN55" s="111" t="str">
        <f>IF(E56=3,_xlfn.NUMBERVALUE(LEFT(J55,1)),"")</f>
        <v/>
      </c>
    </row>
    <row r="56" spans="1:170" x14ac:dyDescent="0.3">
      <c r="A56" s="40"/>
      <c r="B56" s="41"/>
      <c r="C56" s="41"/>
      <c r="D56" s="41"/>
      <c r="E56" s="21" t="str">
        <f t="shared" ref="E56" si="2186">IF(F55="Acrobatic - Pair","PA",IF(F55="Acrobatic Airborn","A",IF(F55="Acrobatic Balance","B",IF(F55="Acrobatic Combined","C",IF(F55="Acrobatic Platform","P",IF(F55="Technical Required Element",3,IF(LEFT(F55,4)="Hybr","H","")))))))</f>
        <v/>
      </c>
      <c r="F56" s="21" t="str">
        <f t="shared" ref="F56" si="2187">IF(AND(F55="Hybrid - Thrust + 2 connections",BU55="X"),"Hybrid - Thrust",IF(OR(E56="A",E56="B",E56="C",E56="P"),"Acrobatic",""))</f>
        <v/>
      </c>
      <c r="G56" s="43"/>
      <c r="H56" s="222" t="str">
        <f t="shared" ref="H56" si="2188">IF(E56="PA",IF(OR(LEFT(J55,1)="L",LEFT(J55,1)="S"),"A-Pair-Lift",IF(OR(LEFT(J55,1)="W",LEFT(J55,1)="T"),"A-Pair-Throw",IF(LEFT(J55,1)="J","A-Pair-Jump","A-Pair"))),IF(OR(E56="A",E56="B",E56="C",E56="P"),CONCATENATE("Acro-",E56),""))</f>
        <v/>
      </c>
      <c r="I56" s="216" t="e">
        <f t="shared" ref="I56" si="2189">IF(OR(F55="Hybrid - min 4 swimmers (no DD)",LEFT(F55,5)="Trans"),0,INDEX($BV$3:$BV$9,MATCH(E56,$BU$3:$BU$9,0)))</f>
        <v>#N/A</v>
      </c>
      <c r="J56" s="210">
        <f t="shared" ref="J56" ca="1" si="2190">IFERROR(IF($H55="No DD",0,IF(OR(ISBLANK(J55),J55="N/A"),0,INDEX(INDIRECT(AV56),MATCH(J55,INDIRECT(AV55),0)))),0)</f>
        <v>0</v>
      </c>
      <c r="K56" s="210">
        <f t="shared" ref="K56" ca="1" si="2191">IFERROR(IF($H55="No DD",0,IF(OR(ISBLANK(K55),K55="N/A"),0,INDEX(INDIRECT(AW56),MATCH(K55,INDIRECT(AW55),0)))),0)</f>
        <v>0</v>
      </c>
      <c r="L56" s="210">
        <f t="shared" ref="L56" ca="1" si="2192">IFERROR(IF($H55="No DD",0,IF(OR(ISBLANK(L55),L55="N/A"),0,INDEX(INDIRECT(AX56),MATCH(L55,INDIRECT(AX55),0)))),0)</f>
        <v>0</v>
      </c>
      <c r="M56" s="210">
        <f t="shared" ref="M56" ca="1" si="2193">IFERROR(IF($H55="No DD",0,IF(OR(ISBLANK(M55),M55="N/A"),0,INDEX(INDIRECT(AY56),MATCH(M55,INDIRECT(AY55),0)))),0)</f>
        <v>0</v>
      </c>
      <c r="N56" s="210">
        <f t="shared" ref="N56" ca="1" si="2194">IFERROR(IF($H55="No DD",0,IF(OR(ISBLANK(N55),N55="N/A"),0,INDEX(INDIRECT(AZ56),MATCH(N55,INDIRECT(AZ55),0)))),0)</f>
        <v>0</v>
      </c>
      <c r="O56" s="210">
        <f t="shared" ref="O56" ca="1" si="2195">IFERROR(IF($H55="No DD",0,IF(OR(ISBLANK(O55),O55="N/A"),0,INDEX(INDIRECT(BA56),MATCH(O55,INDIRECT(BA55),0)))),0)</f>
        <v>0</v>
      </c>
      <c r="P56" s="210">
        <f t="shared" ref="P56" ca="1" si="2196">IFERROR(IF($H55="No DD",0,IF(OR(ISBLANK(P55),P55="N/A"),0,INDEX(INDIRECT(BB56),MATCH(P55,INDIRECT(BB55),0)))),0)</f>
        <v>0</v>
      </c>
      <c r="Q56" s="210">
        <f t="shared" ref="Q56" ca="1" si="2197">IFERROR(IF($H55="No DD",0,IF(OR(ISBLANK(Q55),Q55="N/A"),0,INDEX(INDIRECT(BC56),MATCH(Q55,INDIRECT(BC55),0)))),0)</f>
        <v>0</v>
      </c>
      <c r="R56" s="210">
        <f t="shared" ref="R56" ca="1" si="2198">IFERROR(IF($H55="No DD",0,IF(OR(ISBLANK(R55),R55="N/A"),0,INDEX(INDIRECT(BD56),MATCH(R55,INDIRECT(BD55),0)))),0)</f>
        <v>0</v>
      </c>
      <c r="S56" s="210">
        <f t="shared" ref="S56" ca="1" si="2199">IFERROR(IF($H55="No DD",0,IF(OR(ISBLANK(S55),S55="N/A"),0,INDEX(INDIRECT(BE56),MATCH(S55,INDIRECT(BE55),0)))),0)</f>
        <v>0</v>
      </c>
      <c r="T56" s="210">
        <f t="shared" ref="T56" ca="1" si="2200">IFERROR(IF($H55="No DD",0,IF(OR(ISBLANK(T55),T55="N/A"),0,INDEX(INDIRECT(BF56),MATCH(T55,INDIRECT(BF55),0)))),0)</f>
        <v>0</v>
      </c>
      <c r="U56" s="210">
        <f t="shared" ref="U56" ca="1" si="2201">IFERROR(IF($H55="No DD",0,IF(OR(ISBLANK(U55),U55="N/A"),0,INDEX(INDIRECT(BG56),MATCH(U55,INDIRECT(BG55),0)))),0)</f>
        <v>0</v>
      </c>
      <c r="V56" s="210">
        <f t="shared" ref="V56" ca="1" si="2202">IFERROR(IF($H55="No DD",0,IF(OR(ISBLANK(V55),V55="N/A"),0,INDEX(INDIRECT(BH56),MATCH(V55,INDIRECT(BH55),0)))),0)</f>
        <v>0</v>
      </c>
      <c r="W56" s="210">
        <f t="shared" ref="W56" ca="1" si="2203">IFERROR(IF($H55="No DD",0,IF(OR(ISBLANK(W55),W55="N/A"),0,INDEX(INDIRECT(BI56),MATCH(W55,INDIRECT(BI55),0)))),0)</f>
        <v>0</v>
      </c>
      <c r="X56" s="210">
        <f t="shared" ref="X56" ca="1" si="2204">IFERROR(IF($H55="No DD",0,IF(OR(ISBLANK(X55),X55="N/A"),0,INDEX(INDIRECT(BJ56),MATCH(X55,INDIRECT(BJ55),0)))),0)</f>
        <v>0</v>
      </c>
      <c r="Y56" s="210">
        <f t="shared" ref="Y56" ca="1" si="2205">IFERROR(IF($H55="No DD",0,IF(OR(ISBLANK(Y55),Y55="N/A"),0,INDEX(INDIRECT(BK56),MATCH(Y55,INDIRECT(BK55),0)))),0)</f>
        <v>0</v>
      </c>
      <c r="Z56" s="210">
        <f t="shared" ref="Z56" ca="1" si="2206">IFERROR(IF($H55="No DD",0,IF(OR(ISBLANK(Z55),Z55="N/A"),0,INDEX(INDIRECT(BL56),MATCH(Z55,INDIRECT(BL55),0)))),0)</f>
        <v>0</v>
      </c>
      <c r="AA56" s="210">
        <f t="shared" ref="AA56" ca="1" si="2207">IFERROR(IF($H55="No DD",0,IF(OR(ISBLANK(AA55),AA55="N/A"),0,INDEX(INDIRECT(BM56),MATCH(AA55,INDIRECT(BM55),0)))),0)</f>
        <v>0</v>
      </c>
      <c r="AB56" s="210">
        <f t="shared" ref="AB56" ca="1" si="2208">IFERROR(IF($H55="No DD",0,IF(OR(ISBLANK(AB55),AB55="N/A"),0,INDEX(INDIRECT(BN56),MATCH(AB55,INDIRECT(BN55),0)))),0)</f>
        <v>0</v>
      </c>
      <c r="AC56" s="210">
        <f t="shared" ref="AC56" ca="1" si="2209">IFERROR(IF($H55="No DD",0,IF(OR(ISBLANK(AC55),AC55="N/A"),0,INDEX(INDIRECT(BO56),MATCH(AC55,INDIRECT(BO55),0)))),0)</f>
        <v>0</v>
      </c>
      <c r="AD56" s="211" t="str">
        <f>IFERROR(IF(E56="H",INDEX(HybridBonus_Value,MATCH(AD55,HybridBonus_Code,0)),""),"")</f>
        <v/>
      </c>
      <c r="AE56" s="209" t="str">
        <f t="shared" ref="AE56" si="2210">IFERROR(IF(J55&lt;&gt;"",SUM(I56:AD56),""),"")</f>
        <v/>
      </c>
      <c r="AF56" s="76"/>
      <c r="AG56" s="76"/>
      <c r="AH56" s="121"/>
      <c r="AI56" s="121"/>
      <c r="AJ56" s="121"/>
      <c r="AK56" s="121"/>
      <c r="AL56" s="121"/>
      <c r="AM56" s="121"/>
      <c r="AN56" s="121"/>
      <c r="AO56" s="121"/>
      <c r="AP56" s="121"/>
      <c r="AQ56" s="121"/>
      <c r="AR56" s="121"/>
      <c r="AS56" s="121"/>
      <c r="AT56" s="110"/>
      <c r="AU56" s="121"/>
      <c r="AV56" s="111" t="str">
        <f t="shared" ref="AV56" si="2211">IF($E56="H","HybridDD_Value",IF($E56=3,"TreDD_Value",IF($E56="PA","AcroPair_Value",IF(LEFT($F55,4)="Acro",CONCATENATE(AV$16,$E56,"_Value"),""))))</f>
        <v/>
      </c>
      <c r="AW56" s="111" t="str">
        <f t="shared" ref="AW56:AX56" si="2212">IF($E56="H","HybridDD_Value",IF($E56=3,"",IF(LEFT($F55,4)="Acro",CONCATENATE(AW$16,$E56,"_Value"),IF($E56="PA","",""))))</f>
        <v/>
      </c>
      <c r="AX56" s="111" t="str">
        <f t="shared" si="2212"/>
        <v/>
      </c>
      <c r="AY56" s="111" t="str">
        <f t="shared" ref="AY56:BD56" si="2213">IF($E56="H","HybridDD_Value",IF($E56=3,"",IF(LEFT($F55,4)="Acro",CONCATENATE(AY$16,$E56,"_Value"),IF($E56="PA","",""))))</f>
        <v/>
      </c>
      <c r="AZ56" s="111" t="str">
        <f t="shared" si="2213"/>
        <v/>
      </c>
      <c r="BA56" s="111" t="str">
        <f t="shared" si="2213"/>
        <v/>
      </c>
      <c r="BB56" s="111" t="str">
        <f t="shared" si="2213"/>
        <v/>
      </c>
      <c r="BC56" s="111" t="str">
        <f t="shared" si="2213"/>
        <v/>
      </c>
      <c r="BD56" s="111" t="str">
        <f t="shared" si="2213"/>
        <v/>
      </c>
      <c r="BE56" s="110" t="str">
        <f t="shared" ref="BE56" si="2214">IF($E56="H","HybridDD_Value","Data!$BI$1:$BI$5")</f>
        <v>Data!$BI$1:$BI$5</v>
      </c>
      <c r="BF56" s="110" t="str">
        <f t="shared" si="1762"/>
        <v>Data!$BI$1:$BI$5</v>
      </c>
      <c r="BG56" s="110" t="str">
        <f t="shared" si="1762"/>
        <v>Data!$BI$1:$BI$5</v>
      </c>
      <c r="BH56" s="110" t="str">
        <f t="shared" si="1762"/>
        <v>Data!$BI$1:$BI$5</v>
      </c>
      <c r="BI56" s="110" t="str">
        <f t="shared" si="1762"/>
        <v>Data!$BI$1:$BI$5</v>
      </c>
      <c r="BJ56" s="110" t="str">
        <f t="shared" si="1762"/>
        <v>Data!$BI$1:$BI$5</v>
      </c>
      <c r="BK56" s="110" t="str">
        <f t="shared" si="1762"/>
        <v>Data!$BI$1:$BI$5</v>
      </c>
      <c r="BL56" s="110" t="str">
        <f t="shared" si="1762"/>
        <v>Data!$BI$1:$BI$5</v>
      </c>
      <c r="BM56" s="110" t="str">
        <f t="shared" si="1762"/>
        <v>Data!$BI$1:$BI$5</v>
      </c>
      <c r="BN56" s="110" t="str">
        <f t="shared" si="1762"/>
        <v>Data!$BI$1:$BI$5</v>
      </c>
      <c r="BO56" s="110" t="str">
        <f t="shared" si="1762"/>
        <v>Data!$BI$1:$BI$5</v>
      </c>
      <c r="BP56" s="121"/>
      <c r="BQ56" s="121"/>
      <c r="BR56" s="122" t="str">
        <f>IFERROR(IF(AND($BS$6="T",$BS$8="T",LEFT(F55,4)="Acro",AE56&gt;3),"X",IF($N$7="X",IF(AND(E56="C",AE56&gt;$CA$6),"X",IF(AND(E56="A",AE56&gt;$CA$4),"X",IF(AND(E56="B",AE56&gt;$CA$5),"X",IF(AND(E56="P",AE56&gt;$CA$7),"X","")))),"")),"")</f>
        <v/>
      </c>
      <c r="BS56" s="113"/>
      <c r="BU56" s="108"/>
      <c r="BV56" s="111" t="str">
        <f>IF(F56="Hybrid",SECOND(BS56),"")</f>
        <v/>
      </c>
      <c r="CA56" s="111"/>
      <c r="CB56" s="111"/>
      <c r="CC56" s="111"/>
      <c r="CG56" s="108" t="str">
        <f t="shared" si="1891"/>
        <v/>
      </c>
      <c r="CH56" s="108" t="str">
        <f t="shared" si="1892"/>
        <v/>
      </c>
      <c r="CI56" s="108" t="str">
        <f t="shared" si="1893"/>
        <v/>
      </c>
      <c r="CJ56" s="108" t="str">
        <f t="shared" si="1894"/>
        <v/>
      </c>
      <c r="CR56" s="108">
        <v>38</v>
      </c>
      <c r="DI56" s="108" t="str" cm="1">
        <f t="array" ref="DI56">IFERROR(INDEX(DK56:ED56,MATCH(TRUE,INDEX((DK56:ED56&lt;&gt;""),),0)),"")</f>
        <v/>
      </c>
      <c r="DK56" s="108" t="str">
        <f t="shared" ref="DK56" si="2215">IF(F55="Hybrid - Thrust + 2 connections",IF(COUNTIF($DK55:$ED55,DK55)&gt;1,DK55,""),IF(COUNTIF($DK55:$ED55,DK55)&gt;5,DK55,""))</f>
        <v/>
      </c>
      <c r="DL56" s="108" t="str">
        <f t="shared" ref="DL56" si="2216">IF(G55="Hybrid - Thrust + 2 connections",IF(COUNTIF($DK55:$ED55,DL55)&gt;1,DL55,""),IF(COUNTIF($DK55:$ED55,DL55)&gt;5,DL55,""))</f>
        <v/>
      </c>
      <c r="DM56" s="108" t="str">
        <f t="shared" ref="DM56" si="2217">IF(H55="Hybrid - Thrust + 2 connections",IF(COUNTIF($DK55:$ED55,DM55)&gt;1,DM55,""),IF(COUNTIF($DK55:$ED55,DM55)&gt;5,DM55,""))</f>
        <v/>
      </c>
      <c r="DN56" s="108" t="str">
        <f t="shared" ref="DN56" si="2218">IF(I55="Hybrid - Thrust + 2 connections",IF(COUNTIF($DK55:$ED55,DN55)&gt;1,DN55,""),IF(COUNTIF($DK55:$ED55,DN55)&gt;5,DN55,""))</f>
        <v/>
      </c>
      <c r="DO56" s="108" t="str">
        <f t="shared" ref="DO56" si="2219">IF(J55="Hybrid - Thrust + 2 connections",IF(COUNTIF($DK55:$ED55,DO55)&gt;1,DO55,""),IF(COUNTIF($DK55:$ED55,DO55)&gt;5,DO55,""))</f>
        <v/>
      </c>
      <c r="DP56" s="108" t="str">
        <f t="shared" ref="DP56" si="2220">IF(K55="Hybrid - Thrust + 2 connections",IF(COUNTIF($DK55:$ED55,DP55)&gt;1,DP55,""),IF(COUNTIF($DK55:$ED55,DP55)&gt;5,DP55,""))</f>
        <v/>
      </c>
      <c r="DQ56" s="108" t="str">
        <f t="shared" ref="DQ56" si="2221">IF(L55="Hybrid - Thrust + 2 connections",IF(COUNTIF($DK55:$ED55,DQ55)&gt;1,DQ55,""),IF(COUNTIF($DK55:$ED55,DQ55)&gt;5,DQ55,""))</f>
        <v/>
      </c>
      <c r="DR56" s="108" t="str">
        <f t="shared" ref="DR56" si="2222">IF(M55="Hybrid - Thrust + 2 connections",IF(COUNTIF($DK55:$ED55,DR55)&gt;1,DR55,""),IF(COUNTIF($DK55:$ED55,DR55)&gt;5,DR55,""))</f>
        <v/>
      </c>
      <c r="DS56" s="108" t="str">
        <f t="shared" ref="DS56" si="2223">IF(N55="Hybrid - Thrust + 2 connections",IF(COUNTIF($DK55:$ED55,DS55)&gt;1,DS55,""),IF(COUNTIF($DK55:$ED55,DS55)&gt;5,DS55,""))</f>
        <v/>
      </c>
      <c r="DT56" s="108" t="str">
        <f t="shared" ref="DT56" si="2224">IF(O55="Hybrid - Thrust + 2 connections",IF(COUNTIF($DK55:$ED55,DT55)&gt;1,DT55,""),IF(COUNTIF($DK55:$ED55,DT55)&gt;5,DT55,""))</f>
        <v/>
      </c>
      <c r="DU56" s="108" t="str">
        <f t="shared" ref="DU56" si="2225">IF(P55="Hybrid - Thrust + 2 connections",IF(COUNTIF($DK55:$ED55,DU55)&gt;1,DU55,""),IF(COUNTIF($DK55:$ED55,DU55)&gt;5,DU55,""))</f>
        <v/>
      </c>
      <c r="DV56" s="108" t="str">
        <f t="shared" ref="DV56" si="2226">IF(Q55="Hybrid - Thrust + 2 connections",IF(COUNTIF($DK55:$ED55,DV55)&gt;1,DV55,""),IF(COUNTIF($DK55:$ED55,DV55)&gt;5,DV55,""))</f>
        <v/>
      </c>
      <c r="DW56" s="108" t="str">
        <f t="shared" ref="DW56" si="2227">IF(R55="Hybrid - Thrust + 2 connections",IF(COUNTIF($DK55:$ED55,DW55)&gt;1,DW55,""),IF(COUNTIF($DK55:$ED55,DW55)&gt;5,DW55,""))</f>
        <v/>
      </c>
      <c r="DX56" s="108" t="str">
        <f t="shared" ref="DX56" si="2228">IF(S55="Hybrid - Thrust + 2 connections",IF(COUNTIF($DK55:$ED55,DX55)&gt;1,DX55,""),IF(COUNTIF($DK55:$ED55,DX55)&gt;5,DX55,""))</f>
        <v/>
      </c>
      <c r="DY56" s="108" t="str">
        <f t="shared" ref="DY56" si="2229">IF(T55="Hybrid - Thrust + 2 connections",IF(COUNTIF($DK55:$ED55,DY55)&gt;1,DY55,""),IF(COUNTIF($DK55:$ED55,DY55)&gt;5,DY55,""))</f>
        <v/>
      </c>
      <c r="DZ56" s="108" t="str">
        <f t="shared" ref="DZ56" si="2230">IF(U55="Hybrid - Thrust + 2 connections",IF(COUNTIF($DK55:$ED55,DZ55)&gt;1,DZ55,""),IF(COUNTIF($DK55:$ED55,DZ55)&gt;5,DZ55,""))</f>
        <v/>
      </c>
      <c r="EA56" s="108" t="str">
        <f t="shared" ref="EA56" si="2231">IF(V55="Hybrid - Thrust + 2 connections",IF(COUNTIF($DK55:$ED55,EA55)&gt;1,EA55,""),IF(COUNTIF($DK55:$ED55,EA55)&gt;5,EA55,""))</f>
        <v/>
      </c>
      <c r="EB56" s="108" t="str">
        <f t="shared" ref="EB56" si="2232">IF(W55="Hybrid - Thrust + 2 connections",IF(COUNTIF($DK55:$ED55,EB55)&gt;1,EB55,""),IF(COUNTIF($DK55:$ED55,EB55)&gt;5,EB55,""))</f>
        <v/>
      </c>
      <c r="EC56" s="108" t="str">
        <f t="shared" ref="EC56" si="2233">IF(X55="Hybrid - Thrust + 2 connections",IF(COUNTIF($DK55:$ED55,EC55)&gt;1,EC55,""),IF(COUNTIF($DK55:$ED55,EC55)&gt;5,EC55,""))</f>
        <v/>
      </c>
      <c r="ED56" s="108" t="str">
        <f t="shared" ref="ED56" si="2234">IF(Y55="Hybrid - Thrust + 2 connections",IF(COUNTIF($DK55:$ED55,ED55)&gt;1,ED55,""),IF(COUNTIF($DK55:$ED55,ED55)&gt;5,ED55,""))</f>
        <v/>
      </c>
      <c r="EE56" s="108"/>
      <c r="EF56" s="108" t="str" cm="1">
        <f t="array" ref="EF56">IFERROR(INDEX(EG56:EZ56,MATCH(TRUE,INDEX((EG56:EZ56&lt;&gt;""),),0)),"")</f>
        <v/>
      </c>
      <c r="EG56" s="108" t="str">
        <f t="shared" ref="EG56" si="2235">IF(COUNTIF($EG55:$EZ55,EG55)&gt;3,EG55,"")</f>
        <v/>
      </c>
      <c r="EH56" s="108" t="str">
        <f t="shared" ref="EH56" si="2236">IF(COUNTIF($EG55:$EZ55,EH55)&gt;3,EH55,"")</f>
        <v/>
      </c>
      <c r="EI56" s="108" t="str">
        <f t="shared" ref="EI56" si="2237">IF(COUNTIF($EG55:$EZ55,EI55)&gt;3,EI55,"")</f>
        <v/>
      </c>
      <c r="EJ56" s="108" t="str">
        <f t="shared" ref="EJ56" si="2238">IF(COUNTIF($EG55:$EZ55,EJ55)&gt;3,EJ55,"")</f>
        <v/>
      </c>
      <c r="EK56" s="108" t="str">
        <f t="shared" ref="EK56" si="2239">IF(COUNTIF($EG55:$EZ55,EK55)&gt;3,EK55,"")</f>
        <v/>
      </c>
      <c r="EL56" s="108" t="str">
        <f t="shared" ref="EL56" si="2240">IF(COUNTIF($EG55:$EZ55,EL55)&gt;3,EL55,"")</f>
        <v/>
      </c>
      <c r="EM56" s="108" t="str">
        <f t="shared" ref="EM56" si="2241">IF(COUNTIF($EG55:$EZ55,EM55)&gt;3,EM55,"")</f>
        <v/>
      </c>
      <c r="EN56" s="108" t="str">
        <f t="shared" ref="EN56" si="2242">IF(COUNTIF($EG55:$EZ55,EN55)&gt;3,EN55,"")</f>
        <v/>
      </c>
      <c r="EO56" s="108" t="str">
        <f t="shared" ref="EO56" si="2243">IF(COUNTIF($EG55:$EZ55,EO55)&gt;3,EO55,"")</f>
        <v/>
      </c>
      <c r="EP56" s="108" t="str">
        <f t="shared" ref="EP56" si="2244">IF(COUNTIF($EG55:$EZ55,EP55)&gt;3,EP55,"")</f>
        <v/>
      </c>
      <c r="EQ56" s="108" t="str">
        <f t="shared" ref="EQ56" si="2245">IF(COUNTIF($EG55:$EZ55,EQ55)&gt;3,EQ55,"")</f>
        <v/>
      </c>
      <c r="ER56" s="108" t="str">
        <f t="shared" ref="ER56" si="2246">IF(COUNTIF($EG55:$EZ55,ER55)&gt;3,ER55,"")</f>
        <v/>
      </c>
      <c r="ES56" s="108" t="str">
        <f t="shared" ref="ES56" si="2247">IF(COUNTIF($EG55:$EZ55,ES55)&gt;3,ES55,"")</f>
        <v/>
      </c>
      <c r="ET56" s="108" t="str">
        <f t="shared" ref="ET56" si="2248">IF(COUNTIF($EG55:$EZ55,ET55)&gt;3,ET55,"")</f>
        <v/>
      </c>
      <c r="EU56" s="108" t="str">
        <f t="shared" ref="EU56" si="2249">IF(COUNTIF($EG55:$EZ55,EU55)&gt;3,EU55,"")</f>
        <v/>
      </c>
      <c r="EV56" s="108" t="str">
        <f t="shared" ref="EV56" si="2250">IF(COUNTIF($EG55:$EZ55,EV55)&gt;3,EV55,"")</f>
        <v/>
      </c>
      <c r="EW56" s="108" t="str">
        <f t="shared" ref="EW56" si="2251">IF(COUNTIF($EG55:$EZ55,EW55)&gt;3,EW55,"")</f>
        <v/>
      </c>
      <c r="EX56" s="108" t="str">
        <f t="shared" ref="EX56" si="2252">IF(COUNTIF($EG55:$EZ55,EX55)&gt;3,EX55,"")</f>
        <v/>
      </c>
      <c r="EY56" s="108" t="str">
        <f t="shared" ref="EY56" si="2253">IF(COUNTIF($EG55:$EZ55,EY55)&gt;3,EY55,"")</f>
        <v/>
      </c>
      <c r="EZ56" s="108" t="str">
        <f t="shared" ref="EZ56" si="2254">IF(COUNTIF($EG55:$EZ55,EZ55)&gt;3,EZ55,"")</f>
        <v/>
      </c>
      <c r="FA56" s="108"/>
      <c r="FB56" s="108"/>
      <c r="FC56" s="108"/>
      <c r="FD56" s="108"/>
      <c r="FE56" s="108"/>
      <c r="FF56" s="108"/>
      <c r="FG56" s="108"/>
      <c r="FH56" s="108"/>
      <c r="FI56" s="108" t="str">
        <f t="shared" ref="FI56" si="2255">IF($F55="Hybrid - Thrust + 2 connections",COUNTBLANK(J55:L55),"")</f>
        <v/>
      </c>
      <c r="FJ56" s="108"/>
      <c r="FN56" s="111"/>
    </row>
    <row r="57" spans="1:170" x14ac:dyDescent="0.3">
      <c r="A57" s="40" t="str">
        <f>IF(AND(E55="",A55&lt;&gt;""),IF(BS55=$BS$18,"",IF(C55&lt;&gt;"",IF(D55=59,MINUTE(BS55)+1,MINUTE(BS55)),"")),"")</f>
        <v/>
      </c>
      <c r="B57" s="41" t="str">
        <f>IF(AND(E55="",B55&lt;&gt;""),IF(BS55=$BS$18,"",IF(C55&lt;&gt;"",IF(D55=59,0,SECOND(BS55)+1),"")),"")</f>
        <v/>
      </c>
      <c r="C57" s="51"/>
      <c r="D57" s="51"/>
      <c r="E57" s="9"/>
      <c r="F57" s="52"/>
      <c r="G57" s="43" t="str">
        <f>IF(F57&lt;&gt;"",IF(OR(F57="Transition",F57="Transition - Surface Connection"),0,MAX($G$19:G56)+1),"")</f>
        <v/>
      </c>
      <c r="H57" s="57" t="str">
        <f t="shared" ref="H57" si="2256">IFERROR(IF(E58="3","",IF(OR(F57="Hybrid - min 4 swimmers (no DD)",LEFT(F57,5)="Trans"),"No DD",CONCATENATE("BM = ",I58))),"")</f>
        <v/>
      </c>
      <c r="I57" s="58"/>
      <c r="J57" s="130"/>
      <c r="K57" s="137"/>
      <c r="L57" s="137"/>
      <c r="M57" s="137"/>
      <c r="N57" s="137"/>
      <c r="O57" s="137"/>
      <c r="P57" s="137"/>
      <c r="Q57" s="137"/>
      <c r="R57" s="137"/>
      <c r="S57" s="137"/>
      <c r="T57" s="137"/>
      <c r="U57" s="137"/>
      <c r="V57" s="137"/>
      <c r="W57" s="137"/>
      <c r="X57" s="137"/>
      <c r="Y57" s="137"/>
      <c r="Z57" s="137"/>
      <c r="AA57" s="137"/>
      <c r="AB57" s="137"/>
      <c r="AC57" s="137"/>
      <c r="AD57" s="191"/>
      <c r="AE57" s="44"/>
      <c r="AF57" s="75"/>
      <c r="AG57" s="75"/>
      <c r="AH57" s="110"/>
      <c r="AI57" s="110"/>
      <c r="AJ57" s="110"/>
      <c r="AK57" s="110"/>
      <c r="AL57" s="110"/>
      <c r="AM57" s="110"/>
      <c r="AN57" s="110"/>
      <c r="AO57" s="110"/>
      <c r="AP57" s="110"/>
      <c r="AQ57" s="110"/>
      <c r="AR57" s="110"/>
      <c r="AS57" s="110"/>
      <c r="AT57" s="110" t="str">
        <f>IFERROR(IF(F57&lt;&gt;"",INDEX(Parts_Active,MATCH(F57,Parts_Active,0)),""),"No")</f>
        <v/>
      </c>
      <c r="AU57" s="110"/>
      <c r="AV57" s="110" t="str">
        <f t="shared" ref="AV57" si="2257">IF($E58="H",IF($F57="Hybrid - Thrust + 2 connections","Hybrid_Mix_Req","HybridDD_Code"),IF($E58=3,"TreDD_Code",IF($E58="PA","AcroPair_Code",IF(LEFT($F57,4)="Acro",CONCATENATE(AV$16,$E58,"_Code"),"Data!$BI$1:$BI$5"))))</f>
        <v>Data!$BI$1:$BI$5</v>
      </c>
      <c r="AW57" s="110" t="str">
        <f t="shared" ref="AW57" si="2258">IF($E58="H",IF($F57="Hybrid - Thrust + 2 connections","Hybrid_Mix_Req","HybridDD_Code"),IF($E58=3,"TreDD_Code",IF($E58="PA","AcroPair_Code",IF(LEFT($F57,4)="Acro",CONCATENATE(AW$16,$E58,"_Code"),"Data!$BI$1:$BI$5"))))</f>
        <v>Data!$BI$1:$BI$5</v>
      </c>
      <c r="AX57" s="110" t="str">
        <f t="shared" ref="AX57" si="2259">IF($E58="H",IF($F57="Hybrid - Thrust + 2 connections","Hybrid_Mix_Req","HybridDD_Code"),IF($E58=3,"TreDD_Code",IF($E58="PA","AcroPair_Code",IF(LEFT($F57,4)="Acro",CONCATENATE(AX$16,$E58,"_Code"),"Data!$BI$1:$BI$5"))))</f>
        <v>Data!$BI$1:$BI$5</v>
      </c>
      <c r="AY57" s="110" t="str">
        <f t="shared" ref="AY57" si="2260">IF($E58="H",IF($F57="Hybrid - Thrust + 2 connections","Data!$BI$1:$BI$5","HybridDD_Code"),IF($E58=3,"Data!$BI$1:$BI$5",IF(LEFT($F57,4)="Acro",CONCATENATE(AY$16,$E58,"_Code"),IF($E58="PA","","Data!$BI$1:$BI$5"))))</f>
        <v>Data!$BI$1:$BI$5</v>
      </c>
      <c r="AZ57" s="110" t="str">
        <f t="shared" ref="AZ57" si="2261">IF($E58="H",IF($F57="Hybrid - Thrust + 2 connections","Data!$BI$1:$BI$5","HybridDD_Code"),IF($E58=3,"Data!$BI$1:$BI$5",IF(LEFT($F57,4)="Acro",CONCATENATE(AZ$16,$E58,"_Code"),IF($E58="PA","","Data!$BI$1:$BI$5"))))</f>
        <v>Data!$BI$1:$BI$5</v>
      </c>
      <c r="BA57" s="110" t="str">
        <f t="shared" ref="BA57" si="2262">IF($E58="H",IF($F57="Hybrid - Thrust + 2 connections","Data!$BI$1:$BI$5","HybridDD_Code"),IF($E58=3,"Data!$BI$1:$BI$5",IF(LEFT($F57,4)="Acro",CONCATENATE(BA$16,$E58,"_Code"),IF($E58="PA","","Data!$BI$1:$BI$5"))))</f>
        <v>Data!$BI$1:$BI$5</v>
      </c>
      <c r="BB57" s="110" t="str">
        <f t="shared" ref="BB57" si="2263">IF($E58="H",IF($F57="Hybrid - Thrust + 2 connections","Data!$BI$1:$BI$5","HybridDD_Code"),IF($E58=3,"Data!$BI$1:$BI$5",IF(LEFT($F57,4)="Acro",CONCATENATE(BB$16,$E58,"_Code"),IF($E58="PA","","Data!$BI$1:$BI$5"))))</f>
        <v>Data!$BI$1:$BI$5</v>
      </c>
      <c r="BC57" s="110" t="str">
        <f t="shared" ref="BC57" si="2264">IF($E58="H",IF($F57="Hybrid - Thrust + 2 connections","Data!$BI$1:$BI$5","HybridDD_Code"),IF($E58=3,"Data!$BI$1:$BI$5",IF(LEFT($F57,4)="Acro",CONCATENATE(BC$16,$E58,"_Code"),IF($E58="PA","","Data!$BI$1:$BI$5"))))</f>
        <v>Data!$BI$1:$BI$5</v>
      </c>
      <c r="BD57" s="110" t="str">
        <f t="shared" ref="BD57" si="2265">IF($E58="H",IF($F57="Hybrid - Thrust + 2 connections","Data!$BI$1:$BI$5","HybridDD_Code"),IF($E58=3,"Data!$BI$1:$BI$5",IF(LEFT($F57,4)="Acro",CONCATENATE(BD$16,$E58,"_Code"),IF($E58="PA","","Data!$BI$1:$BI$5"))))</f>
        <v>Data!$BI$1:$BI$5</v>
      </c>
      <c r="BE57" s="110" t="str">
        <f t="shared" ref="BE57" si="2266">IF($E58="H",IF($F57="Hybrid - Thrust + 2 connections","Data!$BI$1:$BI$5","HybridDD_Code"),"Data!$BI$1:$BI$5")</f>
        <v>Data!$BI$1:$BI$5</v>
      </c>
      <c r="BF57" s="110" t="str">
        <f t="shared" si="1762"/>
        <v>Data!$BI$1:$BI$5</v>
      </c>
      <c r="BG57" s="110" t="str">
        <f t="shared" si="1762"/>
        <v>Data!$BI$1:$BI$5</v>
      </c>
      <c r="BH57" s="110" t="str">
        <f t="shared" si="1762"/>
        <v>Data!$BI$1:$BI$5</v>
      </c>
      <c r="BI57" s="110" t="str">
        <f t="shared" si="1762"/>
        <v>Data!$BI$1:$BI$5</v>
      </c>
      <c r="BJ57" s="110" t="str">
        <f t="shared" si="1762"/>
        <v>Data!$BI$1:$BI$5</v>
      </c>
      <c r="BK57" s="110" t="str">
        <f t="shared" si="1762"/>
        <v>Data!$BI$1:$BI$5</v>
      </c>
      <c r="BL57" s="110" t="str">
        <f t="shared" si="1762"/>
        <v>Data!$BI$1:$BI$5</v>
      </c>
      <c r="BM57" s="110" t="str">
        <f t="shared" si="1762"/>
        <v>Data!$BI$1:$BI$5</v>
      </c>
      <c r="BN57" s="110" t="str">
        <f t="shared" si="1762"/>
        <v>Data!$BI$1:$BI$5</v>
      </c>
      <c r="BO57" s="110" t="str">
        <f t="shared" si="1762"/>
        <v>Data!$BI$1:$BI$5</v>
      </c>
      <c r="BP57" s="110"/>
      <c r="BQ57" s="110"/>
      <c r="BR57" s="113" t="str">
        <f t="shared" ref="BR57" si="2267">IFERROR(TIME(0,A57,B57),"")</f>
        <v/>
      </c>
      <c r="BS57" s="114">
        <f>IFERROR(TIME(0,C57,D57),"")</f>
        <v>0</v>
      </c>
      <c r="BT57" s="114" t="str">
        <f t="shared" ref="BT57" si="2268">IF(BS57&gt;$D$12,"X","")</f>
        <v/>
      </c>
      <c r="BU57" s="108" t="str">
        <f>IF(AND(F57="Hybrid - Thrust + 2 connections",OR(LEFT(J57,1)="T",LEFT(K57,1)="T",LEFT(L57,1)="T",LEFT(NG57,1)="T",LEFT(M57,1)="T",LEFT(N57,1)="T",LEFT(O57,1)="T",LEFT(P57,1)="T",LEFT(Q57,1)="T",LEFT(R57,1)="T",LEFT(S57,1)="T",LEFT(T57,1)="T",LEFT(U57,1)="T",LEFT(V57,1)="T",LEFT(W57,1)="T",LEFT(X57,1)="T",LEFT(AA57,1)="T",LEFT(AB57,1)="T",LEFT(AC57,1)="T")),IF(OR(LEN(J57)=2,LEN(K57)=2,LEN(L57)=2,LEN(M57)=2,LEN(N57)=2,LEN(O57)=2,LEN(P57)=2,LEN(Q57)=2,LEN(R57)=2,LEN(S57)=2,LEN(T57)=2,LEN(U57)=2,LEN(V57)=2,LEN(W57)=2,LEN(X57)=2,LEN(Y57)=2,LEN(Z57)=2,LEN(AA57)=2,LEN(AB57)=2,LEN(AC57)=2),"X",""),"")</f>
        <v/>
      </c>
      <c r="BV57" s="111" t="str">
        <f>IF(F57="Hybrid",SECOND(BS57),"")</f>
        <v/>
      </c>
      <c r="BW57" s="108" t="str">
        <f>IF(LEFT(F57,4)="Acro",IF(AND(N57&lt;&gt;"",M57=RIGHT(N57,2)),"X","OK"),"")</f>
        <v/>
      </c>
      <c r="BX57" s="110" t="str">
        <f t="shared" ref="BX57:CE57" si="2269">IFERROR(IF(AND(LEFT($F57,4)="Acro",INDEX(Requ_App,MATCH(AV57,Requ_Code,0))="No"),"X",""),"")</f>
        <v/>
      </c>
      <c r="BY57" s="110" t="str">
        <f t="shared" si="2269"/>
        <v/>
      </c>
      <c r="BZ57" s="110" t="str">
        <f t="shared" si="2269"/>
        <v/>
      </c>
      <c r="CA57" s="110" t="str">
        <f t="shared" si="2269"/>
        <v/>
      </c>
      <c r="CB57" s="110" t="str">
        <f t="shared" si="2269"/>
        <v/>
      </c>
      <c r="CC57" s="110" t="str">
        <f t="shared" si="2269"/>
        <v/>
      </c>
      <c r="CD57" s="110" t="str">
        <f t="shared" si="2269"/>
        <v/>
      </c>
      <c r="CE57" s="110" t="str">
        <f t="shared" si="2269"/>
        <v/>
      </c>
      <c r="CF57" s="110" t="str">
        <f>IFERROR(IF(AND(LEFT($F57,4)="Acro",INDEX(Requ_App,MATCH(BC57,Requ_Code,0))="No"),"X",""),"")</f>
        <v/>
      </c>
      <c r="CG57" s="108" t="str">
        <f t="shared" si="1891"/>
        <v/>
      </c>
      <c r="CH57" s="108" t="str">
        <f t="shared" si="1892"/>
        <v/>
      </c>
      <c r="CI57" s="108" t="str">
        <f t="shared" si="1893"/>
        <v/>
      </c>
      <c r="CJ57" s="108" t="str">
        <f t="shared" si="1894"/>
        <v/>
      </c>
      <c r="CN57" s="108">
        <f t="shared" ref="CN57" si="2270">IF(AND(E58="A",OR(Q57="Grip",Q57="Conn",Q57="Catch")),"A1",IF(AND(E58="A",OR(Q57="Hula",Q57="RetSq",Q57="RetPa")),"A2",IF(AND(E58="B",OR(Q57="Twirl",Q57="RotF")),"B1",IF(AND(E58="B",OR(Q57="Moon",Q57="Mov")),"B2",IF(AND(E58="B",Q57="Hold"),"B3",IF(AND(E58="P",OR(Q57="Porp",Q57="Spitch")),"P1",IF(AND(E58="P",OR(Q57="Dive",Q57="Ps1",Q57="Ps1t0.5",Q57="Ps1op",Q57="Ps1t0,5o",Q57="Ps1t1",Q57="CH+")),"P2",IF(AND(E58="P",OR(Q57="Spider",Q57="Climb")),"P3",IF(AND(E58="P",OR(Q57="Fall",Q57="FTurn")),"P4",IF(AND(E58="C",OR(Q57="Jump",Q57="Jump&gt;",Q57="On1Foot",Q57="1F&gt;1F")),"C1",IF(AND(E58="C",OR(Q57="Run",Q57="BRun")),"C2",1)))))))))))</f>
        <v>1</v>
      </c>
      <c r="CO57" s="108">
        <f t="shared" ref="CO57" si="2271">IF(AND(E58="A",OR(R57="Grip",R57="Conn",R57="Catch")),"A1",IF(AND(E58="A",OR(R57="Hula",R57="RetSq",R57="RetPa")),"A2",IF(AND(E58="B",OR(R57="Twirl",R57="RotF")),"B1",IF(AND(E58="B",OR(R57="Moon",R57="Mov")),"B3",IF(AND(E58="B",R57="Hold"),"B2",IF(AND(E58="P",OR(R57="Porp",R57="Spitch")),"P1",IF(AND(E58="P",OR(R57="Dive",R57="Ps1",R57="Ps1t0.5",R57="Ps1op",R57="Ps1t0,5o",R57="Ps1t1",R57="CH+")),"P2",IF(AND(E58="P",OR(R57="Spider",R57="Climb")),"P3",IF(AND(E58="P",OR(R57="Fall",R57="FTurn")),"P4",IF(AND(E58="C",OR(R57="Jump",R57="Jump&gt;",R57="On1Foot",R57="1F&gt;1F")),"C1",IF(AND(E58="C",OR(R57="Run",R57="BRun")),"C2",2)))))))))))</f>
        <v>2</v>
      </c>
      <c r="CP57" s="108" t="str">
        <f t="shared" ref="CP57" si="2272">IF(AND(LEFT(F57,4)="Acro",Q57&lt;&gt;"",OR(Q57=R57,CN57=CO57)),IF(R57="C-Roll","","X"),IF(OR(AND(E58="A",Q57="Catch",R57&lt;&gt;"Dbl"),AND(E58="A",R57="Catch",Q57&lt;&gt;"Dbl")),"X",""))</f>
        <v/>
      </c>
      <c r="CQ57" s="108" t="str">
        <f t="shared" ref="CQ57" si="2273">IF(E58="PA",J57,"")</f>
        <v/>
      </c>
      <c r="CR57" s="108">
        <v>39</v>
      </c>
      <c r="CT57" s="108" t="str">
        <f t="shared" ref="CT57" si="2274">IF(AND($E58="A",COUNTIF($DC$19:$DD$68,DC57)&gt;1),DC57,"")</f>
        <v/>
      </c>
      <c r="CU57" s="108" t="str">
        <f t="shared" ref="CU57" si="2275">IF(AND($E58="A",COUNTIF($DC$19:$DD$68,DD57)&gt;1),DD57,"")</f>
        <v/>
      </c>
      <c r="CV57" s="108" t="str">
        <f t="shared" ref="CV57" ca="1" si="2276">IF(AND($E58="B",COUNTIF($J$19:$J$68,J57)&gt;1),J57,"")</f>
        <v/>
      </c>
      <c r="CW57" s="108" t="str">
        <f t="shared" ref="CW57" ca="1" si="2277">IF(AND($E58="B",COUNTIF($K$19:$K$68,K57)&gt;1),K57,"")</f>
        <v/>
      </c>
      <c r="CX57" s="108" t="str">
        <f t="shared" ref="CX57" ca="1" si="2278">IF(AND($E58="C",COUNTIF($J$19:$J$68,J57)&gt;1),J57,"")</f>
        <v/>
      </c>
      <c r="CY57" s="108" t="str">
        <f t="shared" ref="CY57" ca="1" si="2279">IF(AND($E58="P",COUNTIF($J$19:$J$68,J57)&gt;1),J57,"")</f>
        <v/>
      </c>
      <c r="CZ57" s="108" t="str">
        <f t="shared" ref="CZ57" ca="1" si="2280">IF(AND($E58="P",COUNTIF($K$19:$K$68,K57)&gt;1),K57,"")</f>
        <v/>
      </c>
      <c r="DA57" s="108" t="str">
        <f t="shared" ref="DA57" si="2281">IF(AND($E58="P",COUNTIF($DC$19:$DD$68,DC57)&gt;1),DC57,"")</f>
        <v/>
      </c>
      <c r="DB57" s="108" t="str">
        <f t="shared" ref="DB57" si="2282">IF(AND($E58="P",COUNTIF($DC$19:$DD$68,DD57)&gt;1),DD57,"")</f>
        <v/>
      </c>
      <c r="DC57" s="108" t="str">
        <f t="shared" ref="DC57" si="2283">IFERROR(IF(OR(E58="A",E58="P"),M57,""),"")</f>
        <v/>
      </c>
      <c r="DD57" s="108" t="str">
        <f t="shared" ref="DD57" si="2284">IFERROR(IF(OR(E58="A",E58="P"),RIGHT(N57,2),""),"")</f>
        <v/>
      </c>
      <c r="DF57" s="108" t="str">
        <f t="shared" ref="DF57" si="2285">IF(AND($F$8="Open Team Acrobatic",LEFT(F57,4)="Acro"),E58,"")</f>
        <v/>
      </c>
      <c r="DG57" s="108" t="str">
        <f t="shared" ref="DG57" si="2286">IFERROR(IF(HLOOKUP(DF57,$DD$12:$DG$13,2,FALSE)&gt;2,"X",""),"")</f>
        <v/>
      </c>
      <c r="DI57" s="108" t="str">
        <f t="shared" ref="DI57" si="2287">IF(OR(AND(F57="Hybrid - Thrust + 2 connections",DI58="T"),AND(F57="Hybrid - Free",DI58&lt;&gt;"")),"X","")</f>
        <v/>
      </c>
      <c r="DK57" s="108">
        <f t="shared" ref="DK57" si="2288">IFERROR(IF(AND($E58="H",J57&lt;&gt;""),IF(OR(LEFT(J57,1)="T",LEFT(J57,1)="S",LEFT(J57,1)="A",LEFT(J57,1)="F",LEFT(J57,1)="C"),LEFT(J57,1),"R"),DK$18),"")</f>
        <v>1</v>
      </c>
      <c r="DL57" s="108">
        <f t="shared" ref="DL57" si="2289">IFERROR(IF(AND($E58="H",K57&lt;&gt;""),IF(OR(LEFT(K57,1)="T",LEFT(K57,1)="S",LEFT(K57,1)="A",LEFT(K57,1)="F",LEFT(K57,1)="C"),LEFT(K57,1),"R"),DL$18),"")</f>
        <v>2</v>
      </c>
      <c r="DM57" s="108">
        <f t="shared" ref="DM57" si="2290">IFERROR(IF(AND($E58="H",L57&lt;&gt;""),IF(OR(LEFT(L57,1)="T",LEFT(L57,1)="S",LEFT(L57,1)="A",LEFT(L57,1)="F",LEFT(L57,1)="C"),LEFT(L57,1),"R"),DM$18),"")</f>
        <v>3</v>
      </c>
      <c r="DN57" s="108">
        <f t="shared" ref="DN57" si="2291">IFERROR(IF(AND($E58="H",M57&lt;&gt;""),IF(OR(LEFT(M57,1)="T",LEFT(M57,1)="S",LEFT(M57,1)="A",LEFT(M57,1)="F",LEFT(M57,1)="C"),LEFT(M57,1),"R"),DN$18),"")</f>
        <v>4</v>
      </c>
      <c r="DO57" s="108">
        <f t="shared" ref="DO57" si="2292">IFERROR(IF(AND($E58="H",N57&lt;&gt;""),IF(OR(LEFT(N57,1)="T",LEFT(N57,1)="S",LEFT(N57,1)="A",LEFT(N57,1)="F",LEFT(N57,1)="C"),LEFT(N57,1),"R"),DO$18),"")</f>
        <v>5</v>
      </c>
      <c r="DP57" s="108">
        <f t="shared" ref="DP57" si="2293">IFERROR(IF(AND($E58="H",O57&lt;&gt;""),IF(OR(LEFT(O57,1)="T",LEFT(O57,1)="S",LEFT(O57,1)="A",LEFT(O57,1)="F",LEFT(O57,1)="C"),LEFT(O57,1),"R"),DP$18),"")</f>
        <v>6</v>
      </c>
      <c r="DQ57" s="108">
        <f t="shared" ref="DQ57" si="2294">IFERROR(IF(AND($E58="H",P57&lt;&gt;""),IF(OR(LEFT(P57,1)="T",LEFT(P57,1)="S",LEFT(P57,1)="A",LEFT(P57,1)="F",LEFT(P57,1)="C"),LEFT(P57,1),"R"),DQ$18),"")</f>
        <v>7</v>
      </c>
      <c r="DR57" s="108">
        <f t="shared" ref="DR57" si="2295">IFERROR(IF(AND($E58="H",Q57&lt;&gt;""),IF(OR(LEFT(Q57,1)="T",LEFT(Q57,1)="S",LEFT(Q57,1)="A",LEFT(Q57,1)="F",LEFT(Q57,1)="C"),LEFT(Q57,1),"R"),DR$18),"")</f>
        <v>8</v>
      </c>
      <c r="DS57" s="108">
        <f t="shared" ref="DS57" si="2296">IFERROR(IF(AND($E58="H",R57&lt;&gt;""),IF(OR(LEFT(R57,1)="T",LEFT(R57,1)="S",LEFT(R57,1)="A",LEFT(R57,1)="F",LEFT(R57,1)="C"),LEFT(R57,1),"R"),DS$18),"")</f>
        <v>9</v>
      </c>
      <c r="DT57" s="108">
        <f t="shared" ref="DT57" si="2297">IFERROR(IF(AND($E58="H",S57&lt;&gt;""),IF(OR(LEFT(S57,1)="T",LEFT(S57,1)="S",LEFT(S57,1)="A",LEFT(S57,1)="F",LEFT(S57,1)="C"),LEFT(S57,1),"R"),DT$18),"")</f>
        <v>10</v>
      </c>
      <c r="DU57" s="108">
        <f t="shared" ref="DU57" si="2298">IFERROR(IF(AND($E58="H",T57&lt;&gt;""),IF(OR(LEFT(T57,1)="T",LEFT(T57,1)="S",LEFT(T57,1)="A",LEFT(T57,1)="F",LEFT(T57,1)="C"),LEFT(T57,1),"R"),DU$18),"")</f>
        <v>11</v>
      </c>
      <c r="DV57" s="108">
        <f t="shared" ref="DV57" si="2299">IFERROR(IF(AND($E58="H",U57&lt;&gt;""),IF(OR(LEFT(U57,1)="T",LEFT(U57,1)="S",LEFT(U57,1)="A",LEFT(U57,1)="F",LEFT(U57,1)="C"),LEFT(U57,1),"R"),DV$18),"")</f>
        <v>12</v>
      </c>
      <c r="DW57" s="108">
        <f t="shared" ref="DW57" si="2300">IFERROR(IF(AND($E58="H",V57&lt;&gt;""),IF(OR(LEFT(V57,1)="T",LEFT(V57,1)="S",LEFT(V57,1)="A",LEFT(V57,1)="F",LEFT(V57,1)="C"),LEFT(V57,1),"R"),DW$18),"")</f>
        <v>13</v>
      </c>
      <c r="DX57" s="108">
        <f t="shared" ref="DX57" si="2301">IFERROR(IF(AND($E58="H",W57&lt;&gt;""),IF(OR(LEFT(W57,1)="T",LEFT(W57,1)="S",LEFT(W57,1)="A",LEFT(W57,1)="F",LEFT(W57,1)="C"),LEFT(W57,1),"R"),DX$18),"")</f>
        <v>14</v>
      </c>
      <c r="DY57" s="108">
        <f t="shared" ref="DY57" si="2302">IFERROR(IF(AND($E58="H",X57&lt;&gt;""),IF(OR(LEFT(X57,1)="T",LEFT(X57,1)="S",LEFT(X57,1)="A",LEFT(X57,1)="F",LEFT(X57,1)="C"),LEFT(X57,1),"R"),DY$18),"")</f>
        <v>15</v>
      </c>
      <c r="DZ57" s="108">
        <f t="shared" ref="DZ57" si="2303">IFERROR(IF(AND($E58="H",Y57&lt;&gt;""),IF(OR(LEFT(Y57,1)="T",LEFT(Y57,1)="S",LEFT(Y57,1)="A",LEFT(Y57,1)="F",LEFT(Y57,1)="C"),LEFT(Y57,1),"R"),DZ$18),"")</f>
        <v>16</v>
      </c>
      <c r="EA57" s="108">
        <f t="shared" ref="EA57" si="2304">IFERROR(IF(AND($E58="H",Z57&lt;&gt;""),IF(OR(LEFT(Z57,1)="T",LEFT(Z57,1)="S",LEFT(Z57,1)="A",LEFT(Z57,1)="F",LEFT(Z57,1)="C"),LEFT(Z57,1),"R"),EA$18),"")</f>
        <v>17</v>
      </c>
      <c r="EB57" s="108">
        <f t="shared" ref="EB57" si="2305">IFERROR(IF(AND($E58="H",AA57&lt;&gt;""),IF(OR(LEFT(AA57,1)="T",LEFT(AA57,1)="S",LEFT(AA57,1)="A",LEFT(AA57,1)="F",LEFT(AA57,1)="C"),LEFT(AA57,1),"R"),EB$18),"")</f>
        <v>18</v>
      </c>
      <c r="EC57" s="108">
        <f t="shared" ref="EC57" si="2306">IFERROR(IF(AND($E58="H",AB57&lt;&gt;""),IF(OR(LEFT(AB57,1)="T",LEFT(AB57,1)="S",LEFT(AB57,1)="A",LEFT(AB57,1)="F",LEFT(AB57,1)="C"),LEFT(AB57,1),"R"),EC$18),"")</f>
        <v>19</v>
      </c>
      <c r="ED57" s="108">
        <f t="shared" ref="ED57" si="2307">IFERROR(IF(AND($E58="H",AC57&lt;&gt;""),IF(OR(LEFT(AC57,1)="T",LEFT(AC57,1)="S",LEFT(AC57,1)="A",LEFT(AC57,1)="F",LEFT(AC57,1)="C"),LEFT(AC57,1),"R"),ED$18),"")</f>
        <v>20</v>
      </c>
      <c r="EE57" s="108"/>
      <c r="EF57" s="108"/>
      <c r="EG57" s="108">
        <f t="shared" ref="EG57:EZ57" si="2308">IFERROR(IF(J57&lt;&gt;"",UPPER(J57),EG$18),EG$18)</f>
        <v>1</v>
      </c>
      <c r="EH57" s="108">
        <f t="shared" si="2308"/>
        <v>2</v>
      </c>
      <c r="EI57" s="108">
        <f t="shared" si="2308"/>
        <v>3</v>
      </c>
      <c r="EJ57" s="108">
        <f t="shared" si="2308"/>
        <v>4</v>
      </c>
      <c r="EK57" s="108">
        <f t="shared" si="2308"/>
        <v>5</v>
      </c>
      <c r="EL57" s="108">
        <f t="shared" si="2308"/>
        <v>6</v>
      </c>
      <c r="EM57" s="108">
        <f t="shared" si="2308"/>
        <v>7</v>
      </c>
      <c r="EN57" s="108">
        <f t="shared" si="2308"/>
        <v>8</v>
      </c>
      <c r="EO57" s="108">
        <f t="shared" si="2308"/>
        <v>9</v>
      </c>
      <c r="EP57" s="108">
        <f t="shared" si="2308"/>
        <v>10</v>
      </c>
      <c r="EQ57" s="108">
        <f t="shared" si="2308"/>
        <v>11</v>
      </c>
      <c r="ER57" s="108">
        <f t="shared" si="2308"/>
        <v>12</v>
      </c>
      <c r="ES57" s="108">
        <f t="shared" si="2308"/>
        <v>13</v>
      </c>
      <c r="ET57" s="108">
        <f t="shared" si="2308"/>
        <v>14</v>
      </c>
      <c r="EU57" s="108">
        <f t="shared" si="2308"/>
        <v>15</v>
      </c>
      <c r="EV57" s="108">
        <f t="shared" si="2308"/>
        <v>16</v>
      </c>
      <c r="EW57" s="108">
        <f t="shared" si="2308"/>
        <v>17</v>
      </c>
      <c r="EX57" s="108">
        <f t="shared" si="2308"/>
        <v>18</v>
      </c>
      <c r="EY57" s="108">
        <f t="shared" si="2308"/>
        <v>19</v>
      </c>
      <c r="EZ57" s="108">
        <f t="shared" si="2308"/>
        <v>20</v>
      </c>
      <c r="FA57" s="108"/>
      <c r="FB57" s="108">
        <f t="shared" ref="FB57" si="2309">COUNTIF($DK57:$ED57,FB$18)</f>
        <v>0</v>
      </c>
      <c r="FC57" s="108">
        <f t="shared" si="934"/>
        <v>0</v>
      </c>
      <c r="FD57" s="108">
        <f t="shared" si="934"/>
        <v>0</v>
      </c>
      <c r="FE57" s="108">
        <f t="shared" si="934"/>
        <v>0</v>
      </c>
      <c r="FF57" s="108">
        <f t="shared" si="934"/>
        <v>0</v>
      </c>
      <c r="FG57" s="108">
        <f t="shared" si="934"/>
        <v>0</v>
      </c>
      <c r="FH57" s="108"/>
      <c r="FI57" s="108" t="str">
        <f t="shared" ref="FI57" si="2310">IF(AND($F57="Hybrid - Thrust + 2 connections",FI58=0,LEFT($J57,1)="C",LEFT($K57,1)="C",LEFT($L57,1)="C"),"X","")</f>
        <v/>
      </c>
      <c r="FJ57" s="108"/>
      <c r="FL57" s="120" t="e">
        <f>IF(OR(LEFT(#REF!,2)="PL",LEFT(#REF!,2)="PL",LEFT(#REF!,2)="PL",LEFT(#REF!,2)="PL",LEFT(#REF!,2)="PL"),IF($BS$17-BR57&gt;$FL$17,"X",""),"")</f>
        <v>#REF!</v>
      </c>
      <c r="FM57" s="120"/>
      <c r="FN57" s="111" t="str">
        <f>IF(E58=3,_xlfn.NUMBERVALUE(LEFT(J57,1)),"")</f>
        <v/>
      </c>
    </row>
    <row r="58" spans="1:170" x14ac:dyDescent="0.3">
      <c r="A58" s="40"/>
      <c r="B58" s="41"/>
      <c r="C58" s="41"/>
      <c r="D58" s="41"/>
      <c r="E58" s="21" t="str">
        <f t="shared" ref="E58" si="2311">IF(F57="Acrobatic - Pair","PA",IF(F57="Acrobatic Airborn","A",IF(F57="Acrobatic Balance","B",IF(F57="Acrobatic Combined","C",IF(F57="Acrobatic Platform","P",IF(F57="Technical Required Element",3,IF(LEFT(F57,4)="Hybr","H","")))))))</f>
        <v/>
      </c>
      <c r="F58" s="21" t="str">
        <f t="shared" ref="F58" si="2312">IF(AND(F57="Hybrid - Thrust + 2 connections",BU57="X"),"Hybrid - Thrust",IF(OR(E58="A",E58="B",E58="C",E58="P"),"Acrobatic",""))</f>
        <v/>
      </c>
      <c r="G58" s="43"/>
      <c r="H58" s="222" t="str">
        <f t="shared" ref="H58" si="2313">IF(E58="PA",IF(OR(LEFT(J57,1)="L",LEFT(J57,1)="S"),"A-Pair-Lift",IF(OR(LEFT(J57,1)="W",LEFT(J57,1)="T"),"A-Pair-Throw",IF(LEFT(J57,1)="J","A-Pair-Jump","A-Pair"))),IF(OR(E58="A",E58="B",E58="C",E58="P"),CONCATENATE("Acro-",E58),""))</f>
        <v/>
      </c>
      <c r="I58" s="216" t="e">
        <f t="shared" ref="I58" si="2314">IF(OR(F57="Hybrid - min 4 swimmers (no DD)",LEFT(F57,5)="Trans"),0,INDEX($BV$3:$BV$9,MATCH(E58,$BU$3:$BU$9,0)))</f>
        <v>#N/A</v>
      </c>
      <c r="J58" s="210">
        <f t="shared" ref="J58" ca="1" si="2315">IFERROR(IF($H57="No DD",0,IF(OR(ISBLANK(J57),J57="N/A"),0,INDEX(INDIRECT(AV58),MATCH(J57,INDIRECT(AV57),0)))),0)</f>
        <v>0</v>
      </c>
      <c r="K58" s="210">
        <f t="shared" ref="K58" ca="1" si="2316">IFERROR(IF($H57="No DD",0,IF(OR(ISBLANK(K57),K57="N/A"),0,INDEX(INDIRECT(AW58),MATCH(K57,INDIRECT(AW57),0)))),0)</f>
        <v>0</v>
      </c>
      <c r="L58" s="210">
        <f t="shared" ref="L58" ca="1" si="2317">IFERROR(IF($H57="No DD",0,IF(OR(ISBLANK(L57),L57="N/A"),0,INDEX(INDIRECT(AX58),MATCH(L57,INDIRECT(AX57),0)))),0)</f>
        <v>0</v>
      </c>
      <c r="M58" s="210">
        <f t="shared" ref="M58" ca="1" si="2318">IFERROR(IF($H57="No DD",0,IF(OR(ISBLANK(M57),M57="N/A"),0,INDEX(INDIRECT(AY58),MATCH(M57,INDIRECT(AY57),0)))),0)</f>
        <v>0</v>
      </c>
      <c r="N58" s="210">
        <f t="shared" ref="N58" ca="1" si="2319">IFERROR(IF($H57="No DD",0,IF(OR(ISBLANK(N57),N57="N/A"),0,INDEX(INDIRECT(AZ58),MATCH(N57,INDIRECT(AZ57),0)))),0)</f>
        <v>0</v>
      </c>
      <c r="O58" s="210">
        <f t="shared" ref="O58" ca="1" si="2320">IFERROR(IF($H57="No DD",0,IF(OR(ISBLANK(O57),O57="N/A"),0,INDEX(INDIRECT(BA58),MATCH(O57,INDIRECT(BA57),0)))),0)</f>
        <v>0</v>
      </c>
      <c r="P58" s="210">
        <f t="shared" ref="P58" ca="1" si="2321">IFERROR(IF($H57="No DD",0,IF(OR(ISBLANK(P57),P57="N/A"),0,INDEX(INDIRECT(BB58),MATCH(P57,INDIRECT(BB57),0)))),0)</f>
        <v>0</v>
      </c>
      <c r="Q58" s="210">
        <f t="shared" ref="Q58" ca="1" si="2322">IFERROR(IF($H57="No DD",0,IF(OR(ISBLANK(Q57),Q57="N/A"),0,INDEX(INDIRECT(BC58),MATCH(Q57,INDIRECT(BC57),0)))),0)</f>
        <v>0</v>
      </c>
      <c r="R58" s="210">
        <f t="shared" ref="R58" ca="1" si="2323">IFERROR(IF($H57="No DD",0,IF(OR(ISBLANK(R57),R57="N/A"),0,INDEX(INDIRECT(BD58),MATCH(R57,INDIRECT(BD57),0)))),0)</f>
        <v>0</v>
      </c>
      <c r="S58" s="210">
        <f t="shared" ref="S58" ca="1" si="2324">IFERROR(IF($H57="No DD",0,IF(OR(ISBLANK(S57),S57="N/A"),0,INDEX(INDIRECT(BE58),MATCH(S57,INDIRECT(BE57),0)))),0)</f>
        <v>0</v>
      </c>
      <c r="T58" s="210">
        <f t="shared" ref="T58" ca="1" si="2325">IFERROR(IF($H57="No DD",0,IF(OR(ISBLANK(T57),T57="N/A"),0,INDEX(INDIRECT(BF58),MATCH(T57,INDIRECT(BF57),0)))),0)</f>
        <v>0</v>
      </c>
      <c r="U58" s="210">
        <f t="shared" ref="U58" ca="1" si="2326">IFERROR(IF($H57="No DD",0,IF(OR(ISBLANK(U57),U57="N/A"),0,INDEX(INDIRECT(BG58),MATCH(U57,INDIRECT(BG57),0)))),0)</f>
        <v>0</v>
      </c>
      <c r="V58" s="210">
        <f t="shared" ref="V58" ca="1" si="2327">IFERROR(IF($H57="No DD",0,IF(OR(ISBLANK(V57),V57="N/A"),0,INDEX(INDIRECT(BH58),MATCH(V57,INDIRECT(BH57),0)))),0)</f>
        <v>0</v>
      </c>
      <c r="W58" s="210">
        <f t="shared" ref="W58" ca="1" si="2328">IFERROR(IF($H57="No DD",0,IF(OR(ISBLANK(W57),W57="N/A"),0,INDEX(INDIRECT(BI58),MATCH(W57,INDIRECT(BI57),0)))),0)</f>
        <v>0</v>
      </c>
      <c r="X58" s="210">
        <f t="shared" ref="X58" ca="1" si="2329">IFERROR(IF($H57="No DD",0,IF(OR(ISBLANK(X57),X57="N/A"),0,INDEX(INDIRECT(BJ58),MATCH(X57,INDIRECT(BJ57),0)))),0)</f>
        <v>0</v>
      </c>
      <c r="Y58" s="210">
        <f t="shared" ref="Y58" ca="1" si="2330">IFERROR(IF($H57="No DD",0,IF(OR(ISBLANK(Y57),Y57="N/A"),0,INDEX(INDIRECT(BK58),MATCH(Y57,INDIRECT(BK57),0)))),0)</f>
        <v>0</v>
      </c>
      <c r="Z58" s="210">
        <f t="shared" ref="Z58" ca="1" si="2331">IFERROR(IF($H57="No DD",0,IF(OR(ISBLANK(Z57),Z57="N/A"),0,INDEX(INDIRECT(BL58),MATCH(Z57,INDIRECT(BL57),0)))),0)</f>
        <v>0</v>
      </c>
      <c r="AA58" s="210">
        <f t="shared" ref="AA58" ca="1" si="2332">IFERROR(IF($H57="No DD",0,IF(OR(ISBLANK(AA57),AA57="N/A"),0,INDEX(INDIRECT(BM58),MATCH(AA57,INDIRECT(BM57),0)))),0)</f>
        <v>0</v>
      </c>
      <c r="AB58" s="210">
        <f t="shared" ref="AB58" ca="1" si="2333">IFERROR(IF($H57="No DD",0,IF(OR(ISBLANK(AB57),AB57="N/A"),0,INDEX(INDIRECT(BN58),MATCH(AB57,INDIRECT(BN57),0)))),0)</f>
        <v>0</v>
      </c>
      <c r="AC58" s="210">
        <f t="shared" ref="AC58" ca="1" si="2334">IFERROR(IF($H57="No DD",0,IF(OR(ISBLANK(AC57),AC57="N/A"),0,INDEX(INDIRECT(BO58),MATCH(AC57,INDIRECT(BO57),0)))),0)</f>
        <v>0</v>
      </c>
      <c r="AD58" s="211" t="str">
        <f>IFERROR(IF(E58="H",INDEX(HybridBonus_Value,MATCH(AD57,HybridBonus_Code,0)),""),"")</f>
        <v/>
      </c>
      <c r="AE58" s="209" t="str">
        <f t="shared" ref="AE58" si="2335">IFERROR(IF(J57&lt;&gt;"",SUM(I58:AD58),""),"")</f>
        <v/>
      </c>
      <c r="AF58" s="76"/>
      <c r="AG58" s="76"/>
      <c r="AH58" s="121"/>
      <c r="AI58" s="121"/>
      <c r="AJ58" s="121"/>
      <c r="AK58" s="121"/>
      <c r="AL58" s="121"/>
      <c r="AM58" s="121"/>
      <c r="AN58" s="121"/>
      <c r="AO58" s="121"/>
      <c r="AP58" s="121"/>
      <c r="AQ58" s="121"/>
      <c r="AR58" s="121"/>
      <c r="AS58" s="121"/>
      <c r="AT58" s="110"/>
      <c r="AU58" s="121"/>
      <c r="AV58" s="111" t="str">
        <f t="shared" ref="AV58" si="2336">IF($E58="H","HybridDD_Value",IF($E58=3,"TreDD_Value",IF($E58="PA","AcroPair_Value",IF(LEFT($F57,4)="Acro",CONCATENATE(AV$16,$E58,"_Value"),""))))</f>
        <v/>
      </c>
      <c r="AW58" s="111" t="str">
        <f t="shared" ref="AW58:AX58" si="2337">IF($E58="H","HybridDD_Value",IF($E58=3,"",IF(LEFT($F57,4)="Acro",CONCATENATE(AW$16,$E58,"_Value"),IF($E58="PA","",""))))</f>
        <v/>
      </c>
      <c r="AX58" s="111" t="str">
        <f t="shared" si="2337"/>
        <v/>
      </c>
      <c r="AY58" s="111" t="str">
        <f t="shared" ref="AY58:BD58" si="2338">IF($E58="H","HybridDD_Value",IF($E58=3,"",IF(LEFT($F57,4)="Acro",CONCATENATE(AY$16,$E58,"_Value"),IF($E58="PA","",""))))</f>
        <v/>
      </c>
      <c r="AZ58" s="111" t="str">
        <f t="shared" si="2338"/>
        <v/>
      </c>
      <c r="BA58" s="111" t="str">
        <f t="shared" si="2338"/>
        <v/>
      </c>
      <c r="BB58" s="111" t="str">
        <f t="shared" si="2338"/>
        <v/>
      </c>
      <c r="BC58" s="111" t="str">
        <f t="shared" si="2338"/>
        <v/>
      </c>
      <c r="BD58" s="111" t="str">
        <f t="shared" si="2338"/>
        <v/>
      </c>
      <c r="BE58" s="110" t="str">
        <f t="shared" ref="BE58" si="2339">IF($E58="H","HybridDD_Value","Data!$BI$1:$BI$5")</f>
        <v>Data!$BI$1:$BI$5</v>
      </c>
      <c r="BF58" s="110" t="str">
        <f t="shared" si="1762"/>
        <v>Data!$BI$1:$BI$5</v>
      </c>
      <c r="BG58" s="110" t="str">
        <f t="shared" si="1762"/>
        <v>Data!$BI$1:$BI$5</v>
      </c>
      <c r="BH58" s="110" t="str">
        <f t="shared" si="1762"/>
        <v>Data!$BI$1:$BI$5</v>
      </c>
      <c r="BI58" s="110" t="str">
        <f t="shared" si="1762"/>
        <v>Data!$BI$1:$BI$5</v>
      </c>
      <c r="BJ58" s="110" t="str">
        <f t="shared" si="1762"/>
        <v>Data!$BI$1:$BI$5</v>
      </c>
      <c r="BK58" s="110" t="str">
        <f t="shared" si="1762"/>
        <v>Data!$BI$1:$BI$5</v>
      </c>
      <c r="BL58" s="110" t="str">
        <f t="shared" si="1762"/>
        <v>Data!$BI$1:$BI$5</v>
      </c>
      <c r="BM58" s="110" t="str">
        <f t="shared" si="1762"/>
        <v>Data!$BI$1:$BI$5</v>
      </c>
      <c r="BN58" s="110" t="str">
        <f t="shared" si="1762"/>
        <v>Data!$BI$1:$BI$5</v>
      </c>
      <c r="BO58" s="110" t="str">
        <f t="shared" si="1762"/>
        <v>Data!$BI$1:$BI$5</v>
      </c>
      <c r="BP58" s="121"/>
      <c r="BQ58" s="121"/>
      <c r="BR58" s="122" t="str">
        <f>IFERROR(IF(AND($BS$6="T",$BS$8="T",LEFT(F57,4)="Acro",AE58&gt;3),"X",IF($N$7="X",IF(AND(E58="C",AE58&gt;$CA$6),"X",IF(AND(E58="A",AE58&gt;$CA$4),"X",IF(AND(E58="B",AE58&gt;$CA$5),"X",IF(AND(E58="P",AE58&gt;$CA$7),"X","")))),"")),"")</f>
        <v/>
      </c>
      <c r="BS58" s="113"/>
      <c r="BU58" s="108"/>
      <c r="CA58" s="111"/>
      <c r="CB58" s="111"/>
      <c r="CC58" s="111"/>
      <c r="CG58" s="108" t="str">
        <f t="shared" si="1891"/>
        <v/>
      </c>
      <c r="CH58" s="108" t="str">
        <f t="shared" si="1892"/>
        <v/>
      </c>
      <c r="CI58" s="108" t="str">
        <f t="shared" si="1893"/>
        <v/>
      </c>
      <c r="CJ58" s="108" t="str">
        <f t="shared" si="1894"/>
        <v/>
      </c>
      <c r="CR58" s="108">
        <v>40</v>
      </c>
      <c r="DI58" s="108" t="str" cm="1">
        <f t="array" ref="DI58">IFERROR(INDEX(DK58:ED58,MATCH(TRUE,INDEX((DK58:ED58&lt;&gt;""),),0)),"")</f>
        <v/>
      </c>
      <c r="DK58" s="108" t="str">
        <f t="shared" ref="DK58" si="2340">IF(F57="Hybrid - Thrust + 2 connections",IF(COUNTIF($DK57:$ED57,DK57)&gt;1,DK57,""),IF(COUNTIF($DK57:$ED57,DK57)&gt;5,DK57,""))</f>
        <v/>
      </c>
      <c r="DL58" s="108" t="str">
        <f t="shared" ref="DL58" si="2341">IF(G57="Hybrid - Thrust + 2 connections",IF(COUNTIF($DK57:$ED57,DL57)&gt;1,DL57,""),IF(COUNTIF($DK57:$ED57,DL57)&gt;5,DL57,""))</f>
        <v/>
      </c>
      <c r="DM58" s="108" t="str">
        <f t="shared" ref="DM58" si="2342">IF(H57="Hybrid - Thrust + 2 connections",IF(COUNTIF($DK57:$ED57,DM57)&gt;1,DM57,""),IF(COUNTIF($DK57:$ED57,DM57)&gt;5,DM57,""))</f>
        <v/>
      </c>
      <c r="DN58" s="108" t="str">
        <f t="shared" ref="DN58" si="2343">IF(I57="Hybrid - Thrust + 2 connections",IF(COUNTIF($DK57:$ED57,DN57)&gt;1,DN57,""),IF(COUNTIF($DK57:$ED57,DN57)&gt;5,DN57,""))</f>
        <v/>
      </c>
      <c r="DO58" s="108" t="str">
        <f t="shared" ref="DO58" si="2344">IF(J57="Hybrid - Thrust + 2 connections",IF(COUNTIF($DK57:$ED57,DO57)&gt;1,DO57,""),IF(COUNTIF($DK57:$ED57,DO57)&gt;5,DO57,""))</f>
        <v/>
      </c>
      <c r="DP58" s="108" t="str">
        <f t="shared" ref="DP58" si="2345">IF(K57="Hybrid - Thrust + 2 connections",IF(COUNTIF($DK57:$ED57,DP57)&gt;1,DP57,""),IF(COUNTIF($DK57:$ED57,DP57)&gt;5,DP57,""))</f>
        <v/>
      </c>
      <c r="DQ58" s="108" t="str">
        <f t="shared" ref="DQ58" si="2346">IF(L57="Hybrid - Thrust + 2 connections",IF(COUNTIF($DK57:$ED57,DQ57)&gt;1,DQ57,""),IF(COUNTIF($DK57:$ED57,DQ57)&gt;5,DQ57,""))</f>
        <v/>
      </c>
      <c r="DR58" s="108" t="str">
        <f t="shared" ref="DR58" si="2347">IF(M57="Hybrid - Thrust + 2 connections",IF(COUNTIF($DK57:$ED57,DR57)&gt;1,DR57,""),IF(COUNTIF($DK57:$ED57,DR57)&gt;5,DR57,""))</f>
        <v/>
      </c>
      <c r="DS58" s="108" t="str">
        <f t="shared" ref="DS58" si="2348">IF(N57="Hybrid - Thrust + 2 connections",IF(COUNTIF($DK57:$ED57,DS57)&gt;1,DS57,""),IF(COUNTIF($DK57:$ED57,DS57)&gt;5,DS57,""))</f>
        <v/>
      </c>
      <c r="DT58" s="108" t="str">
        <f t="shared" ref="DT58" si="2349">IF(O57="Hybrid - Thrust + 2 connections",IF(COUNTIF($DK57:$ED57,DT57)&gt;1,DT57,""),IF(COUNTIF($DK57:$ED57,DT57)&gt;5,DT57,""))</f>
        <v/>
      </c>
      <c r="DU58" s="108" t="str">
        <f t="shared" ref="DU58" si="2350">IF(P57="Hybrid - Thrust + 2 connections",IF(COUNTIF($DK57:$ED57,DU57)&gt;1,DU57,""),IF(COUNTIF($DK57:$ED57,DU57)&gt;5,DU57,""))</f>
        <v/>
      </c>
      <c r="DV58" s="108" t="str">
        <f t="shared" ref="DV58" si="2351">IF(Q57="Hybrid - Thrust + 2 connections",IF(COUNTIF($DK57:$ED57,DV57)&gt;1,DV57,""),IF(COUNTIF($DK57:$ED57,DV57)&gt;5,DV57,""))</f>
        <v/>
      </c>
      <c r="DW58" s="108" t="str">
        <f t="shared" ref="DW58" si="2352">IF(R57="Hybrid - Thrust + 2 connections",IF(COUNTIF($DK57:$ED57,DW57)&gt;1,DW57,""),IF(COUNTIF($DK57:$ED57,DW57)&gt;5,DW57,""))</f>
        <v/>
      </c>
      <c r="DX58" s="108" t="str">
        <f t="shared" ref="DX58" si="2353">IF(S57="Hybrid - Thrust + 2 connections",IF(COUNTIF($DK57:$ED57,DX57)&gt;1,DX57,""),IF(COUNTIF($DK57:$ED57,DX57)&gt;5,DX57,""))</f>
        <v/>
      </c>
      <c r="DY58" s="108" t="str">
        <f t="shared" ref="DY58" si="2354">IF(T57="Hybrid - Thrust + 2 connections",IF(COUNTIF($DK57:$ED57,DY57)&gt;1,DY57,""),IF(COUNTIF($DK57:$ED57,DY57)&gt;5,DY57,""))</f>
        <v/>
      </c>
      <c r="DZ58" s="108" t="str">
        <f t="shared" ref="DZ58" si="2355">IF(U57="Hybrid - Thrust + 2 connections",IF(COUNTIF($DK57:$ED57,DZ57)&gt;1,DZ57,""),IF(COUNTIF($DK57:$ED57,DZ57)&gt;5,DZ57,""))</f>
        <v/>
      </c>
      <c r="EA58" s="108" t="str">
        <f t="shared" ref="EA58" si="2356">IF(V57="Hybrid - Thrust + 2 connections",IF(COUNTIF($DK57:$ED57,EA57)&gt;1,EA57,""),IF(COUNTIF($DK57:$ED57,EA57)&gt;5,EA57,""))</f>
        <v/>
      </c>
      <c r="EB58" s="108" t="str">
        <f t="shared" ref="EB58" si="2357">IF(W57="Hybrid - Thrust + 2 connections",IF(COUNTIF($DK57:$ED57,EB57)&gt;1,EB57,""),IF(COUNTIF($DK57:$ED57,EB57)&gt;5,EB57,""))</f>
        <v/>
      </c>
      <c r="EC58" s="108" t="str">
        <f t="shared" ref="EC58" si="2358">IF(X57="Hybrid - Thrust + 2 connections",IF(COUNTIF($DK57:$ED57,EC57)&gt;1,EC57,""),IF(COUNTIF($DK57:$ED57,EC57)&gt;5,EC57,""))</f>
        <v/>
      </c>
      <c r="ED58" s="108" t="str">
        <f t="shared" ref="ED58" si="2359">IF(Y57="Hybrid - Thrust + 2 connections",IF(COUNTIF($DK57:$ED57,ED57)&gt;1,ED57,""),IF(COUNTIF($DK57:$ED57,ED57)&gt;5,ED57,""))</f>
        <v/>
      </c>
      <c r="EE58" s="108"/>
      <c r="EF58" s="108" t="str" cm="1">
        <f t="array" ref="EF58">IFERROR(INDEX(EG58:EZ58,MATCH(TRUE,INDEX((EG58:EZ58&lt;&gt;""),),0)),"")</f>
        <v/>
      </c>
      <c r="EG58" s="108" t="str">
        <f t="shared" ref="EG58" si="2360">IF(COUNTIF($EG57:$EZ57,EG57)&gt;3,EG57,"")</f>
        <v/>
      </c>
      <c r="EH58" s="108" t="str">
        <f t="shared" ref="EH58" si="2361">IF(COUNTIF($EG57:$EZ57,EH57)&gt;3,EH57,"")</f>
        <v/>
      </c>
      <c r="EI58" s="108" t="str">
        <f t="shared" ref="EI58" si="2362">IF(COUNTIF($EG57:$EZ57,EI57)&gt;3,EI57,"")</f>
        <v/>
      </c>
      <c r="EJ58" s="108" t="str">
        <f t="shared" ref="EJ58" si="2363">IF(COUNTIF($EG57:$EZ57,EJ57)&gt;3,EJ57,"")</f>
        <v/>
      </c>
      <c r="EK58" s="108" t="str">
        <f t="shared" ref="EK58" si="2364">IF(COUNTIF($EG57:$EZ57,EK57)&gt;3,EK57,"")</f>
        <v/>
      </c>
      <c r="EL58" s="108" t="str">
        <f t="shared" ref="EL58" si="2365">IF(COUNTIF($EG57:$EZ57,EL57)&gt;3,EL57,"")</f>
        <v/>
      </c>
      <c r="EM58" s="108" t="str">
        <f t="shared" ref="EM58" si="2366">IF(COUNTIF($EG57:$EZ57,EM57)&gt;3,EM57,"")</f>
        <v/>
      </c>
      <c r="EN58" s="108" t="str">
        <f t="shared" ref="EN58" si="2367">IF(COUNTIF($EG57:$EZ57,EN57)&gt;3,EN57,"")</f>
        <v/>
      </c>
      <c r="EO58" s="108" t="str">
        <f t="shared" ref="EO58" si="2368">IF(COUNTIF($EG57:$EZ57,EO57)&gt;3,EO57,"")</f>
        <v/>
      </c>
      <c r="EP58" s="108" t="str">
        <f t="shared" ref="EP58" si="2369">IF(COUNTIF($EG57:$EZ57,EP57)&gt;3,EP57,"")</f>
        <v/>
      </c>
      <c r="EQ58" s="108" t="str">
        <f t="shared" ref="EQ58" si="2370">IF(COUNTIF($EG57:$EZ57,EQ57)&gt;3,EQ57,"")</f>
        <v/>
      </c>
      <c r="ER58" s="108" t="str">
        <f t="shared" ref="ER58" si="2371">IF(COUNTIF($EG57:$EZ57,ER57)&gt;3,ER57,"")</f>
        <v/>
      </c>
      <c r="ES58" s="108" t="str">
        <f t="shared" ref="ES58" si="2372">IF(COUNTIF($EG57:$EZ57,ES57)&gt;3,ES57,"")</f>
        <v/>
      </c>
      <c r="ET58" s="108" t="str">
        <f t="shared" ref="ET58" si="2373">IF(COUNTIF($EG57:$EZ57,ET57)&gt;3,ET57,"")</f>
        <v/>
      </c>
      <c r="EU58" s="108" t="str">
        <f t="shared" ref="EU58" si="2374">IF(COUNTIF($EG57:$EZ57,EU57)&gt;3,EU57,"")</f>
        <v/>
      </c>
      <c r="EV58" s="108" t="str">
        <f t="shared" ref="EV58" si="2375">IF(COUNTIF($EG57:$EZ57,EV57)&gt;3,EV57,"")</f>
        <v/>
      </c>
      <c r="EW58" s="108" t="str">
        <f t="shared" ref="EW58" si="2376">IF(COUNTIF($EG57:$EZ57,EW57)&gt;3,EW57,"")</f>
        <v/>
      </c>
      <c r="EX58" s="108" t="str">
        <f t="shared" ref="EX58" si="2377">IF(COUNTIF($EG57:$EZ57,EX57)&gt;3,EX57,"")</f>
        <v/>
      </c>
      <c r="EY58" s="108" t="str">
        <f t="shared" ref="EY58" si="2378">IF(COUNTIF($EG57:$EZ57,EY57)&gt;3,EY57,"")</f>
        <v/>
      </c>
      <c r="EZ58" s="108" t="str">
        <f t="shared" ref="EZ58" si="2379">IF(COUNTIF($EG57:$EZ57,EZ57)&gt;3,EZ57,"")</f>
        <v/>
      </c>
      <c r="FA58" s="108"/>
      <c r="FB58" s="108"/>
      <c r="FC58" s="108"/>
      <c r="FD58" s="108"/>
      <c r="FE58" s="108"/>
      <c r="FF58" s="108"/>
      <c r="FG58" s="108"/>
      <c r="FH58" s="108"/>
      <c r="FI58" s="108" t="str">
        <f t="shared" ref="FI58" si="2380">IF($F57="Hybrid - Thrust + 2 connections",COUNTBLANK(J57:L57),"")</f>
        <v/>
      </c>
      <c r="FJ58" s="108"/>
      <c r="FN58" s="111"/>
    </row>
    <row r="59" spans="1:170" x14ac:dyDescent="0.3">
      <c r="A59" s="40" t="str">
        <f>IF(AND(E57="",A57&lt;&gt;""),IF(BS57=$BS$18,"",IF(C57&lt;&gt;"",IF(D57=59,MINUTE(BS57)+1,MINUTE(BS57)),"")),"")</f>
        <v/>
      </c>
      <c r="B59" s="41" t="str">
        <f>IF(AND(E57="",B57&lt;&gt;""),IF(BS57=$BS$18,"",IF(C57&lt;&gt;"",IF(D57=59,0,SECOND(BS57)+1),"")),"")</f>
        <v/>
      </c>
      <c r="C59" s="51"/>
      <c r="D59" s="51"/>
      <c r="E59" s="9"/>
      <c r="F59" s="52"/>
      <c r="G59" s="43" t="str">
        <f>IF(F59&lt;&gt;"",IF(OR(F59="Transition",F59="Transition - Surface Connection"),0,MAX($G$19:G58)+1),"")</f>
        <v/>
      </c>
      <c r="H59" s="57" t="str">
        <f t="shared" ref="H59" si="2381">IFERROR(IF(E60="3","",IF(OR(F59="Hybrid - min 4 swimmers (no DD)",LEFT(F59,5)="Trans"),"No DD",CONCATENATE("BM = ",I60))),"")</f>
        <v/>
      </c>
      <c r="I59" s="58"/>
      <c r="J59" s="130"/>
      <c r="K59" s="137"/>
      <c r="L59" s="137"/>
      <c r="M59" s="137"/>
      <c r="N59" s="137"/>
      <c r="O59" s="137"/>
      <c r="P59" s="137"/>
      <c r="Q59" s="137"/>
      <c r="R59" s="137"/>
      <c r="S59" s="137"/>
      <c r="T59" s="137"/>
      <c r="U59" s="137"/>
      <c r="V59" s="137"/>
      <c r="W59" s="137"/>
      <c r="X59" s="137"/>
      <c r="Y59" s="137"/>
      <c r="Z59" s="137"/>
      <c r="AA59" s="137"/>
      <c r="AB59" s="137"/>
      <c r="AC59" s="137"/>
      <c r="AD59" s="191"/>
      <c r="AE59" s="44"/>
      <c r="AF59" s="75"/>
      <c r="AG59" s="75"/>
      <c r="AH59" s="110"/>
      <c r="AI59" s="110"/>
      <c r="AJ59" s="110"/>
      <c r="AK59" s="110"/>
      <c r="AL59" s="110"/>
      <c r="AM59" s="110"/>
      <c r="AN59" s="110"/>
      <c r="AO59" s="110"/>
      <c r="AP59" s="110"/>
      <c r="AQ59" s="110"/>
      <c r="AR59" s="110"/>
      <c r="AS59" s="110"/>
      <c r="AT59" s="110" t="str">
        <f>IFERROR(IF(F59&lt;&gt;"",INDEX(Parts_Active,MATCH(F59,Parts_Active,0)),""),"No")</f>
        <v/>
      </c>
      <c r="AU59" s="110"/>
      <c r="AV59" s="110" t="str">
        <f t="shared" ref="AV59" si="2382">IF($E60="H",IF($F59="Hybrid - Thrust + 2 connections","Hybrid_Mix_Req","HybridDD_Code"),IF($E60=3,"TreDD_Code",IF($E60="PA","AcroPair_Code",IF(LEFT($F59,4)="Acro",CONCATENATE(AV$16,$E60,"_Code"),"Data!$BI$1:$BI$5"))))</f>
        <v>Data!$BI$1:$BI$5</v>
      </c>
      <c r="AW59" s="110" t="str">
        <f t="shared" ref="AW59" si="2383">IF($E60="H",IF($F59="Hybrid - Thrust + 2 connections","Hybrid_Mix_Req","HybridDD_Code"),IF($E60=3,"TreDD_Code",IF($E60="PA","AcroPair_Code",IF(LEFT($F59,4)="Acro",CONCATENATE(AW$16,$E60,"_Code"),"Data!$BI$1:$BI$5"))))</f>
        <v>Data!$BI$1:$BI$5</v>
      </c>
      <c r="AX59" s="110" t="str">
        <f t="shared" ref="AX59" si="2384">IF($E60="H",IF($F59="Hybrid - Thrust + 2 connections","Hybrid_Mix_Req","HybridDD_Code"),IF($E60=3,"TreDD_Code",IF($E60="PA","AcroPair_Code",IF(LEFT($F59,4)="Acro",CONCATENATE(AX$16,$E60,"_Code"),"Data!$BI$1:$BI$5"))))</f>
        <v>Data!$BI$1:$BI$5</v>
      </c>
      <c r="AY59" s="110" t="str">
        <f t="shared" ref="AY59" si="2385">IF($E60="H",IF($F59="Hybrid - Thrust + 2 connections","Data!$BI$1:$BI$5","HybridDD_Code"),IF($E60=3,"Data!$BI$1:$BI$5",IF(LEFT($F59,4)="Acro",CONCATENATE(AY$16,$E60,"_Code"),IF($E60="PA","","Data!$BI$1:$BI$5"))))</f>
        <v>Data!$BI$1:$BI$5</v>
      </c>
      <c r="AZ59" s="110" t="str">
        <f t="shared" ref="AZ59" si="2386">IF($E60="H",IF($F59="Hybrid - Thrust + 2 connections","Data!$BI$1:$BI$5","HybridDD_Code"),IF($E60=3,"Data!$BI$1:$BI$5",IF(LEFT($F59,4)="Acro",CONCATENATE(AZ$16,$E60,"_Code"),IF($E60="PA","","Data!$BI$1:$BI$5"))))</f>
        <v>Data!$BI$1:$BI$5</v>
      </c>
      <c r="BA59" s="110" t="str">
        <f t="shared" ref="BA59" si="2387">IF($E60="H",IF($F59="Hybrid - Thrust + 2 connections","Data!$BI$1:$BI$5","HybridDD_Code"),IF($E60=3,"Data!$BI$1:$BI$5",IF(LEFT($F59,4)="Acro",CONCATENATE(BA$16,$E60,"_Code"),IF($E60="PA","","Data!$BI$1:$BI$5"))))</f>
        <v>Data!$BI$1:$BI$5</v>
      </c>
      <c r="BB59" s="110" t="str">
        <f t="shared" ref="BB59" si="2388">IF($E60="H",IF($F59="Hybrid - Thrust + 2 connections","Data!$BI$1:$BI$5","HybridDD_Code"),IF($E60=3,"Data!$BI$1:$BI$5",IF(LEFT($F59,4)="Acro",CONCATENATE(BB$16,$E60,"_Code"),IF($E60="PA","","Data!$BI$1:$BI$5"))))</f>
        <v>Data!$BI$1:$BI$5</v>
      </c>
      <c r="BC59" s="110" t="str">
        <f t="shared" ref="BC59" si="2389">IF($E60="H",IF($F59="Hybrid - Thrust + 2 connections","Data!$BI$1:$BI$5","HybridDD_Code"),IF($E60=3,"Data!$BI$1:$BI$5",IF(LEFT($F59,4)="Acro",CONCATENATE(BC$16,$E60,"_Code"),IF($E60="PA","","Data!$BI$1:$BI$5"))))</f>
        <v>Data!$BI$1:$BI$5</v>
      </c>
      <c r="BD59" s="110" t="str">
        <f t="shared" ref="BD59" si="2390">IF($E60="H",IF($F59="Hybrid - Thrust + 2 connections","Data!$BI$1:$BI$5","HybridDD_Code"),IF($E60=3,"Data!$BI$1:$BI$5",IF(LEFT($F59,4)="Acro",CONCATENATE(BD$16,$E60,"_Code"),IF($E60="PA","","Data!$BI$1:$BI$5"))))</f>
        <v>Data!$BI$1:$BI$5</v>
      </c>
      <c r="BE59" s="110" t="str">
        <f t="shared" ref="BE59" si="2391">IF($E60="H",IF($F59="Hybrid - Thrust + 2 connections","Data!$BI$1:$BI$5","HybridDD_Code"),"Data!$BI$1:$BI$5")</f>
        <v>Data!$BI$1:$BI$5</v>
      </c>
      <c r="BF59" s="110" t="str">
        <f t="shared" ref="BF59:BO68" si="2392">$BE59</f>
        <v>Data!$BI$1:$BI$5</v>
      </c>
      <c r="BG59" s="110" t="str">
        <f t="shared" si="2392"/>
        <v>Data!$BI$1:$BI$5</v>
      </c>
      <c r="BH59" s="110" t="str">
        <f t="shared" si="2392"/>
        <v>Data!$BI$1:$BI$5</v>
      </c>
      <c r="BI59" s="110" t="str">
        <f t="shared" si="2392"/>
        <v>Data!$BI$1:$BI$5</v>
      </c>
      <c r="BJ59" s="110" t="str">
        <f t="shared" si="2392"/>
        <v>Data!$BI$1:$BI$5</v>
      </c>
      <c r="BK59" s="110" t="str">
        <f t="shared" si="2392"/>
        <v>Data!$BI$1:$BI$5</v>
      </c>
      <c r="BL59" s="110" t="str">
        <f t="shared" si="2392"/>
        <v>Data!$BI$1:$BI$5</v>
      </c>
      <c r="BM59" s="110" t="str">
        <f t="shared" si="2392"/>
        <v>Data!$BI$1:$BI$5</v>
      </c>
      <c r="BN59" s="110" t="str">
        <f t="shared" si="2392"/>
        <v>Data!$BI$1:$BI$5</v>
      </c>
      <c r="BO59" s="110" t="str">
        <f t="shared" si="2392"/>
        <v>Data!$BI$1:$BI$5</v>
      </c>
      <c r="BP59" s="110"/>
      <c r="BQ59" s="110"/>
      <c r="BR59" s="113" t="str">
        <f t="shared" ref="BR59" si="2393">IFERROR(TIME(0,A59,B59),"")</f>
        <v/>
      </c>
      <c r="BS59" s="114">
        <f>IFERROR(TIME(0,C59,D59),"")</f>
        <v>0</v>
      </c>
      <c r="BT59" s="114" t="str">
        <f t="shared" ref="BT59" si="2394">IF(BS59&gt;$D$12,"X","")</f>
        <v/>
      </c>
      <c r="BU59" s="108" t="str">
        <f>IF(AND(F59="Hybrid - Thrust + 2 connections",OR(LEFT(J59,1)="T",LEFT(K59,1)="T",LEFT(L59,1)="T",LEFT(NG59,1)="T",LEFT(M59,1)="T",LEFT(N59,1)="T",LEFT(O59,1)="T",LEFT(P59,1)="T",LEFT(Q59,1)="T",LEFT(R59,1)="T",LEFT(S59,1)="T",LEFT(T59,1)="T",LEFT(U59,1)="T",LEFT(V59,1)="T",LEFT(W59,1)="T",LEFT(X59,1)="T",LEFT(AA59,1)="T",LEFT(AB59,1)="T",LEFT(AC59,1)="T")),IF(OR(LEN(J59)=2,LEN(K59)=2,LEN(L59)=2,LEN(M59)=2,LEN(N59)=2,LEN(O59)=2,LEN(P59)=2,LEN(Q59)=2,LEN(R59)=2,LEN(S59)=2,LEN(T59)=2,LEN(U59)=2,LEN(V59)=2,LEN(W59)=2,LEN(X59)=2,LEN(Y59)=2,LEN(Z59)=2,LEN(AA59)=2,LEN(AB59)=2,LEN(AC59)=2),"X",""),"")</f>
        <v/>
      </c>
      <c r="BW59" s="108" t="str">
        <f>IF(LEFT(F59,4)="Acro",IF(AND(N59&lt;&gt;"",M59=RIGHT(N59,2)),"X","OK"),"")</f>
        <v/>
      </c>
      <c r="BX59" s="110" t="str">
        <f t="shared" ref="BX59:CE59" si="2395">IFERROR(IF(AND(LEFT($F59,4)="Acro",INDEX(Requ_App,MATCH(AV59,Requ_Code,0))="No"),"X",""),"")</f>
        <v/>
      </c>
      <c r="BY59" s="110" t="str">
        <f t="shared" si="2395"/>
        <v/>
      </c>
      <c r="BZ59" s="110" t="str">
        <f t="shared" si="2395"/>
        <v/>
      </c>
      <c r="CA59" s="110" t="str">
        <f t="shared" si="2395"/>
        <v/>
      </c>
      <c r="CB59" s="110" t="str">
        <f t="shared" si="2395"/>
        <v/>
      </c>
      <c r="CC59" s="110" t="str">
        <f t="shared" si="2395"/>
        <v/>
      </c>
      <c r="CD59" s="110" t="str">
        <f t="shared" si="2395"/>
        <v/>
      </c>
      <c r="CE59" s="110" t="str">
        <f t="shared" si="2395"/>
        <v/>
      </c>
      <c r="CF59" s="110" t="str">
        <f>IFERROR(IF(AND(LEFT($F59,4)="Acro",INDEX(Requ_App,MATCH(BC59,Requ_Code,0))="No"),"X",""),"")</f>
        <v/>
      </c>
      <c r="CG59" s="108" t="str">
        <f t="shared" si="1891"/>
        <v/>
      </c>
      <c r="CH59" s="108" t="str">
        <f t="shared" si="1892"/>
        <v/>
      </c>
      <c r="CI59" s="108" t="str">
        <f t="shared" si="1893"/>
        <v/>
      </c>
      <c r="CJ59" s="108" t="str">
        <f t="shared" si="1894"/>
        <v/>
      </c>
      <c r="CN59" s="108">
        <f t="shared" ref="CN59" si="2396">IF(AND(E60="A",OR(Q59="Grip",Q59="Conn",Q59="Catch")),"A1",IF(AND(E60="A",OR(Q59="Hula",Q59="RetSq",Q59="RetPa")),"A2",IF(AND(E60="B",OR(Q59="Twirl",Q59="RotF")),"B1",IF(AND(E60="B",OR(Q59="Moon",Q59="Mov")),"B2",IF(AND(E60="B",Q59="Hold"),"B3",IF(AND(E60="P",OR(Q59="Porp",Q59="Spitch")),"P1",IF(AND(E60="P",OR(Q59="Dive",Q59="Ps1",Q59="Ps1t0.5",Q59="Ps1op",Q59="Ps1t0,5o",Q59="Ps1t1",Q59="CH+")),"P2",IF(AND(E60="P",OR(Q59="Spider",Q59="Climb")),"P3",IF(AND(E60="P",OR(Q59="Fall",Q59="FTurn")),"P4",IF(AND(E60="C",OR(Q59="Jump",Q59="Jump&gt;",Q59="On1Foot",Q59="1F&gt;1F")),"C1",IF(AND(E60="C",OR(Q59="Run",Q59="BRun")),"C2",1)))))))))))</f>
        <v>1</v>
      </c>
      <c r="CO59" s="108">
        <f t="shared" ref="CO59" si="2397">IF(AND(E60="A",OR(R59="Grip",R59="Conn",R59="Catch")),"A1",IF(AND(E60="A",OR(R59="Hula",R59="RetSq",R59="RetPa")),"A2",IF(AND(E60="B",OR(R59="Twirl",R59="RotF")),"B1",IF(AND(E60="B",OR(R59="Moon",R59="Mov")),"B3",IF(AND(E60="B",R59="Hold"),"B2",IF(AND(E60="P",OR(R59="Porp",R59="Spitch")),"P1",IF(AND(E60="P",OR(R59="Dive",R59="Ps1",R59="Ps1t0.5",R59="Ps1op",R59="Ps1t0,5o",R59="Ps1t1",R59="CH+")),"P2",IF(AND(E60="P",OR(R59="Spider",R59="Climb")),"P3",IF(AND(E60="P",OR(R59="Fall",R59="FTurn")),"P4",IF(AND(E60="C",OR(R59="Jump",R59="Jump&gt;",R59="On1Foot",R59="1F&gt;1F")),"C1",IF(AND(E60="C",OR(R59="Run",R59="BRun")),"C2",2)))))))))))</f>
        <v>2</v>
      </c>
      <c r="CP59" s="108" t="str">
        <f t="shared" ref="CP59" si="2398">IF(AND(LEFT(F59,4)="Acro",Q59&lt;&gt;"",OR(Q59=R59,CN59=CO59)),IF(R59="C-Roll","","X"),IF(OR(AND(E60="A",Q59="Catch",R59&lt;&gt;"Dbl"),AND(E60="A",R59="Catch",Q59&lt;&gt;"Dbl")),"X",""))</f>
        <v/>
      </c>
      <c r="CQ59" s="108" t="str">
        <f t="shared" ref="CQ59" si="2399">IF(E60="PA",J59,"")</f>
        <v/>
      </c>
      <c r="CR59" s="108">
        <v>41</v>
      </c>
      <c r="CT59" s="108" t="str">
        <f t="shared" ref="CT59" si="2400">IF(AND($E60="A",COUNTIF($DC$19:$DD$68,DC59)&gt;1),DC59,"")</f>
        <v/>
      </c>
      <c r="CU59" s="108" t="str">
        <f t="shared" ref="CU59" si="2401">IF(AND($E60="A",COUNTIF($DC$19:$DD$68,DD59)&gt;1),DD59,"")</f>
        <v/>
      </c>
      <c r="CV59" s="108" t="str">
        <f t="shared" ref="CV59" ca="1" si="2402">IF(AND($E60="B",COUNTIF($J$19:$J$68,J59)&gt;1),J59,"")</f>
        <v/>
      </c>
      <c r="CW59" s="108" t="str">
        <f t="shared" ref="CW59" ca="1" si="2403">IF(AND($E60="B",COUNTIF($K$19:$K$68,K59)&gt;1),K59,"")</f>
        <v/>
      </c>
      <c r="CX59" s="108" t="str">
        <f t="shared" ref="CX59" ca="1" si="2404">IF(AND($E60="C",COUNTIF($J$19:$J$68,J59)&gt;1),J59,"")</f>
        <v/>
      </c>
      <c r="CY59" s="108" t="str">
        <f t="shared" ref="CY59" ca="1" si="2405">IF(AND($E60="P",COUNTIF($J$19:$J$68,J59)&gt;1),J59,"")</f>
        <v/>
      </c>
      <c r="CZ59" s="108" t="str">
        <f t="shared" ref="CZ59" ca="1" si="2406">IF(AND($E60="P",COUNTIF($K$19:$K$68,K59)&gt;1),K59,"")</f>
        <v/>
      </c>
      <c r="DA59" s="108" t="str">
        <f t="shared" ref="DA59" si="2407">IF(AND($E60="P",COUNTIF($DC$19:$DD$68,DC59)&gt;1),DC59,"")</f>
        <v/>
      </c>
      <c r="DB59" s="108" t="str">
        <f t="shared" ref="DB59" si="2408">IF(AND($E60="P",COUNTIF($DC$19:$DD$68,DD59)&gt;1),DD59,"")</f>
        <v/>
      </c>
      <c r="DC59" s="108" t="str">
        <f t="shared" ref="DC59" si="2409">IFERROR(IF(OR(E60="A",E60="P"),M59,""),"")</f>
        <v/>
      </c>
      <c r="DD59" s="108" t="str">
        <f t="shared" ref="DD59" si="2410">IFERROR(IF(OR(E60="A",E60="P"),RIGHT(N59,2),""),"")</f>
        <v/>
      </c>
      <c r="DF59" s="108" t="str">
        <f t="shared" ref="DF59" si="2411">IF(AND($F$8="Open Team Acrobatic",LEFT(F59,4)="Acro"),E60,"")</f>
        <v/>
      </c>
      <c r="DG59" s="108" t="str">
        <f t="shared" ref="DG59" si="2412">IFERROR(IF(HLOOKUP(DF59,$DD$12:$DG$13,2,FALSE)&gt;2,"X",""),"")</f>
        <v/>
      </c>
      <c r="DI59" s="108" t="str">
        <f t="shared" ref="DI59" si="2413">IF(OR(AND(F59="Hybrid - Thrust + 2 connections",DI60="T"),AND(F59="Hybrid - Free",DI60&lt;&gt;"")),"X","")</f>
        <v/>
      </c>
      <c r="DK59" s="108">
        <f t="shared" ref="DK59" si="2414">IFERROR(IF(AND($E60="H",J59&lt;&gt;""),IF(OR(LEFT(J59,1)="T",LEFT(J59,1)="S",LEFT(J59,1)="A",LEFT(J59,1)="F",LEFT(J59,1)="C"),LEFT(J59,1),"R"),DK$18),"")</f>
        <v>1</v>
      </c>
      <c r="DL59" s="108">
        <f t="shared" ref="DL59" si="2415">IFERROR(IF(AND($E60="H",K59&lt;&gt;""),IF(OR(LEFT(K59,1)="T",LEFT(K59,1)="S",LEFT(K59,1)="A",LEFT(K59,1)="F",LEFT(K59,1)="C"),LEFT(K59,1),"R"),DL$18),"")</f>
        <v>2</v>
      </c>
      <c r="DM59" s="108">
        <f t="shared" ref="DM59" si="2416">IFERROR(IF(AND($E60="H",L59&lt;&gt;""),IF(OR(LEFT(L59,1)="T",LEFT(L59,1)="S",LEFT(L59,1)="A",LEFT(L59,1)="F",LEFT(L59,1)="C"),LEFT(L59,1),"R"),DM$18),"")</f>
        <v>3</v>
      </c>
      <c r="DN59" s="108">
        <f t="shared" ref="DN59" si="2417">IFERROR(IF(AND($E60="H",M59&lt;&gt;""),IF(OR(LEFT(M59,1)="T",LEFT(M59,1)="S",LEFT(M59,1)="A",LEFT(M59,1)="F",LEFT(M59,1)="C"),LEFT(M59,1),"R"),DN$18),"")</f>
        <v>4</v>
      </c>
      <c r="DO59" s="108">
        <f t="shared" ref="DO59" si="2418">IFERROR(IF(AND($E60="H",N59&lt;&gt;""),IF(OR(LEFT(N59,1)="T",LEFT(N59,1)="S",LEFT(N59,1)="A",LEFT(N59,1)="F",LEFT(N59,1)="C"),LEFT(N59,1),"R"),DO$18),"")</f>
        <v>5</v>
      </c>
      <c r="DP59" s="108">
        <f t="shared" ref="DP59" si="2419">IFERROR(IF(AND($E60="H",O59&lt;&gt;""),IF(OR(LEFT(O59,1)="T",LEFT(O59,1)="S",LEFT(O59,1)="A",LEFT(O59,1)="F",LEFT(O59,1)="C"),LEFT(O59,1),"R"),DP$18),"")</f>
        <v>6</v>
      </c>
      <c r="DQ59" s="108">
        <f t="shared" ref="DQ59" si="2420">IFERROR(IF(AND($E60="H",P59&lt;&gt;""),IF(OR(LEFT(P59,1)="T",LEFT(P59,1)="S",LEFT(P59,1)="A",LEFT(P59,1)="F",LEFT(P59,1)="C"),LEFT(P59,1),"R"),DQ$18),"")</f>
        <v>7</v>
      </c>
      <c r="DR59" s="108">
        <f t="shared" ref="DR59" si="2421">IFERROR(IF(AND($E60="H",Q59&lt;&gt;""),IF(OR(LEFT(Q59,1)="T",LEFT(Q59,1)="S",LEFT(Q59,1)="A",LEFT(Q59,1)="F",LEFT(Q59,1)="C"),LEFT(Q59,1),"R"),DR$18),"")</f>
        <v>8</v>
      </c>
      <c r="DS59" s="108">
        <f t="shared" ref="DS59" si="2422">IFERROR(IF(AND($E60="H",R59&lt;&gt;""),IF(OR(LEFT(R59,1)="T",LEFT(R59,1)="S",LEFT(R59,1)="A",LEFT(R59,1)="F",LEFT(R59,1)="C"),LEFT(R59,1),"R"),DS$18),"")</f>
        <v>9</v>
      </c>
      <c r="DT59" s="108">
        <f t="shared" ref="DT59" si="2423">IFERROR(IF(AND($E60="H",S59&lt;&gt;""),IF(OR(LEFT(S59,1)="T",LEFT(S59,1)="S",LEFT(S59,1)="A",LEFT(S59,1)="F",LEFT(S59,1)="C"),LEFT(S59,1),"R"),DT$18),"")</f>
        <v>10</v>
      </c>
      <c r="DU59" s="108">
        <f t="shared" ref="DU59" si="2424">IFERROR(IF(AND($E60="H",T59&lt;&gt;""),IF(OR(LEFT(T59,1)="T",LEFT(T59,1)="S",LEFT(T59,1)="A",LEFT(T59,1)="F",LEFT(T59,1)="C"),LEFT(T59,1),"R"),DU$18),"")</f>
        <v>11</v>
      </c>
      <c r="DV59" s="108">
        <f t="shared" ref="DV59" si="2425">IFERROR(IF(AND($E60="H",U59&lt;&gt;""),IF(OR(LEFT(U59,1)="T",LEFT(U59,1)="S",LEFT(U59,1)="A",LEFT(U59,1)="F",LEFT(U59,1)="C"),LEFT(U59,1),"R"),DV$18),"")</f>
        <v>12</v>
      </c>
      <c r="DW59" s="108">
        <f t="shared" ref="DW59" si="2426">IFERROR(IF(AND($E60="H",V59&lt;&gt;""),IF(OR(LEFT(V59,1)="T",LEFT(V59,1)="S",LEFT(V59,1)="A",LEFT(V59,1)="F",LEFT(V59,1)="C"),LEFT(V59,1),"R"),DW$18),"")</f>
        <v>13</v>
      </c>
      <c r="DX59" s="108">
        <f t="shared" ref="DX59" si="2427">IFERROR(IF(AND($E60="H",W59&lt;&gt;""),IF(OR(LEFT(W59,1)="T",LEFT(W59,1)="S",LEFT(W59,1)="A",LEFT(W59,1)="F",LEFT(W59,1)="C"),LEFT(W59,1),"R"),DX$18),"")</f>
        <v>14</v>
      </c>
      <c r="DY59" s="108">
        <f t="shared" ref="DY59" si="2428">IFERROR(IF(AND($E60="H",X59&lt;&gt;""),IF(OR(LEFT(X59,1)="T",LEFT(X59,1)="S",LEFT(X59,1)="A",LEFT(X59,1)="F",LEFT(X59,1)="C"),LEFT(X59,1),"R"),DY$18),"")</f>
        <v>15</v>
      </c>
      <c r="DZ59" s="108">
        <f t="shared" ref="DZ59" si="2429">IFERROR(IF(AND($E60="H",Y59&lt;&gt;""),IF(OR(LEFT(Y59,1)="T",LEFT(Y59,1)="S",LEFT(Y59,1)="A",LEFT(Y59,1)="F",LEFT(Y59,1)="C"),LEFT(Y59,1),"R"),DZ$18),"")</f>
        <v>16</v>
      </c>
      <c r="EA59" s="108">
        <f t="shared" ref="EA59" si="2430">IFERROR(IF(AND($E60="H",Z59&lt;&gt;""),IF(OR(LEFT(Z59,1)="T",LEFT(Z59,1)="S",LEFT(Z59,1)="A",LEFT(Z59,1)="F",LEFT(Z59,1)="C"),LEFT(Z59,1),"R"),EA$18),"")</f>
        <v>17</v>
      </c>
      <c r="EB59" s="108">
        <f t="shared" ref="EB59" si="2431">IFERROR(IF(AND($E60="H",AA59&lt;&gt;""),IF(OR(LEFT(AA59,1)="T",LEFT(AA59,1)="S",LEFT(AA59,1)="A",LEFT(AA59,1)="F",LEFT(AA59,1)="C"),LEFT(AA59,1),"R"),EB$18),"")</f>
        <v>18</v>
      </c>
      <c r="EC59" s="108">
        <f t="shared" ref="EC59" si="2432">IFERROR(IF(AND($E60="H",AB59&lt;&gt;""),IF(OR(LEFT(AB59,1)="T",LEFT(AB59,1)="S",LEFT(AB59,1)="A",LEFT(AB59,1)="F",LEFT(AB59,1)="C"),LEFT(AB59,1),"R"),EC$18),"")</f>
        <v>19</v>
      </c>
      <c r="ED59" s="108">
        <f t="shared" ref="ED59" si="2433">IFERROR(IF(AND($E60="H",AC59&lt;&gt;""),IF(OR(LEFT(AC59,1)="T",LEFT(AC59,1)="S",LEFT(AC59,1)="A",LEFT(AC59,1)="F",LEFT(AC59,1)="C"),LEFT(AC59,1),"R"),ED$18),"")</f>
        <v>20</v>
      </c>
      <c r="EE59" s="108"/>
      <c r="EF59" s="108"/>
      <c r="EG59" s="108">
        <f t="shared" ref="EG59:EZ59" si="2434">IFERROR(IF(J59&lt;&gt;"",UPPER(J59),EG$18),EG$18)</f>
        <v>1</v>
      </c>
      <c r="EH59" s="108">
        <f t="shared" si="2434"/>
        <v>2</v>
      </c>
      <c r="EI59" s="108">
        <f t="shared" si="2434"/>
        <v>3</v>
      </c>
      <c r="EJ59" s="108">
        <f t="shared" si="2434"/>
        <v>4</v>
      </c>
      <c r="EK59" s="108">
        <f t="shared" si="2434"/>
        <v>5</v>
      </c>
      <c r="EL59" s="108">
        <f t="shared" si="2434"/>
        <v>6</v>
      </c>
      <c r="EM59" s="108">
        <f t="shared" si="2434"/>
        <v>7</v>
      </c>
      <c r="EN59" s="108">
        <f t="shared" si="2434"/>
        <v>8</v>
      </c>
      <c r="EO59" s="108">
        <f t="shared" si="2434"/>
        <v>9</v>
      </c>
      <c r="EP59" s="108">
        <f t="shared" si="2434"/>
        <v>10</v>
      </c>
      <c r="EQ59" s="108">
        <f t="shared" si="2434"/>
        <v>11</v>
      </c>
      <c r="ER59" s="108">
        <f t="shared" si="2434"/>
        <v>12</v>
      </c>
      <c r="ES59" s="108">
        <f t="shared" si="2434"/>
        <v>13</v>
      </c>
      <c r="ET59" s="108">
        <f t="shared" si="2434"/>
        <v>14</v>
      </c>
      <c r="EU59" s="108">
        <f t="shared" si="2434"/>
        <v>15</v>
      </c>
      <c r="EV59" s="108">
        <f t="shared" si="2434"/>
        <v>16</v>
      </c>
      <c r="EW59" s="108">
        <f t="shared" si="2434"/>
        <v>17</v>
      </c>
      <c r="EX59" s="108">
        <f t="shared" si="2434"/>
        <v>18</v>
      </c>
      <c r="EY59" s="108">
        <f t="shared" si="2434"/>
        <v>19</v>
      </c>
      <c r="EZ59" s="108">
        <f t="shared" si="2434"/>
        <v>20</v>
      </c>
      <c r="FA59" s="108"/>
      <c r="FB59" s="108">
        <f t="shared" ref="FB59" si="2435">COUNTIF($DK59:$ED59,FB$18)</f>
        <v>0</v>
      </c>
      <c r="FC59" s="108">
        <f t="shared" si="934"/>
        <v>0</v>
      </c>
      <c r="FD59" s="108">
        <f t="shared" si="934"/>
        <v>0</v>
      </c>
      <c r="FE59" s="108">
        <f t="shared" si="934"/>
        <v>0</v>
      </c>
      <c r="FF59" s="108">
        <f t="shared" si="934"/>
        <v>0</v>
      </c>
      <c r="FG59" s="108">
        <f t="shared" si="934"/>
        <v>0</v>
      </c>
      <c r="FH59" s="108"/>
      <c r="FI59" s="108" t="str">
        <f t="shared" ref="FI59" si="2436">IF(AND($F59="Hybrid - Thrust + 2 connections",FI60=0,LEFT($J59,1)="C",LEFT($K59,1)="C",LEFT($L59,1)="C"),"X","")</f>
        <v/>
      </c>
      <c r="FJ59" s="108"/>
      <c r="FL59" s="120" t="e">
        <f>IF(OR(LEFT(#REF!,2)="PL",LEFT(#REF!,2)="PL",LEFT(#REF!,2)="PL",LEFT(#REF!,2)="PL",LEFT(#REF!,2)="PL"),IF($BS$17-BR59&gt;$FL$17,"X",""),"")</f>
        <v>#REF!</v>
      </c>
      <c r="FM59" s="120"/>
      <c r="FN59" s="111" t="str">
        <f>IF(E60=3,_xlfn.NUMBERVALUE(LEFT(J59,1)),"")</f>
        <v/>
      </c>
    </row>
    <row r="60" spans="1:170" x14ac:dyDescent="0.3">
      <c r="A60" s="40"/>
      <c r="B60" s="41"/>
      <c r="C60" s="41"/>
      <c r="D60" s="41"/>
      <c r="E60" s="21" t="str">
        <f t="shared" ref="E60" si="2437">IF(F59="Acrobatic - Pair","PA",IF(F59="Acrobatic Airborn","A",IF(F59="Acrobatic Balance","B",IF(F59="Acrobatic Combined","C",IF(F59="Acrobatic Platform","P",IF(F59="Technical Required Element",3,IF(LEFT(F59,4)="Hybr","H","")))))))</f>
        <v/>
      </c>
      <c r="F60" s="21" t="str">
        <f t="shared" ref="F60" si="2438">IF(AND(F59="Hybrid - Thrust + 2 connections",BU59="X"),"Hybrid - Thrust",IF(OR(E60="A",E60="B",E60="C",E60="P"),"Acrobatic",""))</f>
        <v/>
      </c>
      <c r="G60" s="43"/>
      <c r="H60" s="222" t="str">
        <f t="shared" ref="H60" si="2439">IF(E60="PA",IF(OR(LEFT(J59,1)="L",LEFT(J59,1)="S"),"A-Pair-Lift",IF(OR(LEFT(J59,1)="W",LEFT(J59,1)="T"),"A-Pair-Throw",IF(LEFT(J59,1)="J","A-Pair-Jump","A-Pair"))),IF(OR(E60="A",E60="B",E60="C",E60="P"),CONCATENATE("Acro-",E60),""))</f>
        <v/>
      </c>
      <c r="I60" s="216" t="e">
        <f t="shared" ref="I60" si="2440">IF(OR(F59="Hybrid - min 4 swimmers (no DD)",LEFT(F59,5)="Trans"),0,INDEX($BV$3:$BV$9,MATCH(E60,$BU$3:$BU$9,0)))</f>
        <v>#N/A</v>
      </c>
      <c r="J60" s="210">
        <f t="shared" ref="J60" ca="1" si="2441">IFERROR(IF($H59="No DD",0,IF(OR(ISBLANK(J59),J59="N/A"),0,INDEX(INDIRECT(AV60),MATCH(J59,INDIRECT(AV59),0)))),0)</f>
        <v>0</v>
      </c>
      <c r="K60" s="210">
        <f t="shared" ref="K60" ca="1" si="2442">IFERROR(IF($H59="No DD",0,IF(OR(ISBLANK(K59),K59="N/A"),0,INDEX(INDIRECT(AW60),MATCH(K59,INDIRECT(AW59),0)))),0)</f>
        <v>0</v>
      </c>
      <c r="L60" s="210">
        <f t="shared" ref="L60" ca="1" si="2443">IFERROR(IF($H59="No DD",0,IF(OR(ISBLANK(L59),L59="N/A"),0,INDEX(INDIRECT(AX60),MATCH(L59,INDIRECT(AX59),0)))),0)</f>
        <v>0</v>
      </c>
      <c r="M60" s="210">
        <f t="shared" ref="M60" ca="1" si="2444">IFERROR(IF($H59="No DD",0,IF(OR(ISBLANK(M59),M59="N/A"),0,INDEX(INDIRECT(AY60),MATCH(M59,INDIRECT(AY59),0)))),0)</f>
        <v>0</v>
      </c>
      <c r="N60" s="210">
        <f t="shared" ref="N60" ca="1" si="2445">IFERROR(IF($H59="No DD",0,IF(OR(ISBLANK(N59),N59="N/A"),0,INDEX(INDIRECT(AZ60),MATCH(N59,INDIRECT(AZ59),0)))),0)</f>
        <v>0</v>
      </c>
      <c r="O60" s="210">
        <f t="shared" ref="O60" ca="1" si="2446">IFERROR(IF($H59="No DD",0,IF(OR(ISBLANK(O59),O59="N/A"),0,INDEX(INDIRECT(BA60),MATCH(O59,INDIRECT(BA59),0)))),0)</f>
        <v>0</v>
      </c>
      <c r="P60" s="210">
        <f t="shared" ref="P60" ca="1" si="2447">IFERROR(IF($H59="No DD",0,IF(OR(ISBLANK(P59),P59="N/A"),0,INDEX(INDIRECT(BB60),MATCH(P59,INDIRECT(BB59),0)))),0)</f>
        <v>0</v>
      </c>
      <c r="Q60" s="210">
        <f t="shared" ref="Q60" ca="1" si="2448">IFERROR(IF($H59="No DD",0,IF(OR(ISBLANK(Q59),Q59="N/A"),0,INDEX(INDIRECT(BC60),MATCH(Q59,INDIRECT(BC59),0)))),0)</f>
        <v>0</v>
      </c>
      <c r="R60" s="210">
        <f t="shared" ref="R60" ca="1" si="2449">IFERROR(IF($H59="No DD",0,IF(OR(ISBLANK(R59),R59="N/A"),0,INDEX(INDIRECT(BD60),MATCH(R59,INDIRECT(BD59),0)))),0)</f>
        <v>0</v>
      </c>
      <c r="S60" s="210">
        <f t="shared" ref="S60" ca="1" si="2450">IFERROR(IF($H59="No DD",0,IF(OR(ISBLANK(S59),S59="N/A"),0,INDEX(INDIRECT(BE60),MATCH(S59,INDIRECT(BE59),0)))),0)</f>
        <v>0</v>
      </c>
      <c r="T60" s="210">
        <f t="shared" ref="T60" ca="1" si="2451">IFERROR(IF($H59="No DD",0,IF(OR(ISBLANK(T59),T59="N/A"),0,INDEX(INDIRECT(BF60),MATCH(T59,INDIRECT(BF59),0)))),0)</f>
        <v>0</v>
      </c>
      <c r="U60" s="210">
        <f t="shared" ref="U60" ca="1" si="2452">IFERROR(IF($H59="No DD",0,IF(OR(ISBLANK(U59),U59="N/A"),0,INDEX(INDIRECT(BG60),MATCH(U59,INDIRECT(BG59),0)))),0)</f>
        <v>0</v>
      </c>
      <c r="V60" s="210">
        <f t="shared" ref="V60" ca="1" si="2453">IFERROR(IF($H59="No DD",0,IF(OR(ISBLANK(V59),V59="N/A"),0,INDEX(INDIRECT(BH60),MATCH(V59,INDIRECT(BH59),0)))),0)</f>
        <v>0</v>
      </c>
      <c r="W60" s="210">
        <f t="shared" ref="W60" ca="1" si="2454">IFERROR(IF($H59="No DD",0,IF(OR(ISBLANK(W59),W59="N/A"),0,INDEX(INDIRECT(BI60),MATCH(W59,INDIRECT(BI59),0)))),0)</f>
        <v>0</v>
      </c>
      <c r="X60" s="210">
        <f t="shared" ref="X60" ca="1" si="2455">IFERROR(IF($H59="No DD",0,IF(OR(ISBLANK(X59),X59="N/A"),0,INDEX(INDIRECT(BJ60),MATCH(X59,INDIRECT(BJ59),0)))),0)</f>
        <v>0</v>
      </c>
      <c r="Y60" s="210">
        <f t="shared" ref="Y60" ca="1" si="2456">IFERROR(IF($H59="No DD",0,IF(OR(ISBLANK(Y59),Y59="N/A"),0,INDEX(INDIRECT(BK60),MATCH(Y59,INDIRECT(BK59),0)))),0)</f>
        <v>0</v>
      </c>
      <c r="Z60" s="210">
        <f t="shared" ref="Z60" ca="1" si="2457">IFERROR(IF($H59="No DD",0,IF(OR(ISBLANK(Z59),Z59="N/A"),0,INDEX(INDIRECT(BL60),MATCH(Z59,INDIRECT(BL59),0)))),0)</f>
        <v>0</v>
      </c>
      <c r="AA60" s="210">
        <f t="shared" ref="AA60" ca="1" si="2458">IFERROR(IF($H59="No DD",0,IF(OR(ISBLANK(AA59),AA59="N/A"),0,INDEX(INDIRECT(BM60),MATCH(AA59,INDIRECT(BM59),0)))),0)</f>
        <v>0</v>
      </c>
      <c r="AB60" s="210">
        <f t="shared" ref="AB60" ca="1" si="2459">IFERROR(IF($H59="No DD",0,IF(OR(ISBLANK(AB59),AB59="N/A"),0,INDEX(INDIRECT(BN60),MATCH(AB59,INDIRECT(BN59),0)))),0)</f>
        <v>0</v>
      </c>
      <c r="AC60" s="210">
        <f t="shared" ref="AC60" ca="1" si="2460">IFERROR(IF($H59="No DD",0,IF(OR(ISBLANK(AC59),AC59="N/A"),0,INDEX(INDIRECT(BO60),MATCH(AC59,INDIRECT(BO59),0)))),0)</f>
        <v>0</v>
      </c>
      <c r="AD60" s="211" t="str">
        <f>IFERROR(IF(E60="H",INDEX(HybridBonus_Value,MATCH(AD59,HybridBonus_Code,0)),""),"")</f>
        <v/>
      </c>
      <c r="AE60" s="209" t="str">
        <f t="shared" ref="AE60" si="2461">IFERROR(IF(J59&lt;&gt;"",SUM(I60:AD60),""),"")</f>
        <v/>
      </c>
      <c r="AF60" s="76"/>
      <c r="AG60" s="76"/>
      <c r="AH60" s="121"/>
      <c r="AI60" s="121"/>
      <c r="AJ60" s="121"/>
      <c r="AK60" s="121"/>
      <c r="AL60" s="121"/>
      <c r="AM60" s="121"/>
      <c r="AN60" s="121"/>
      <c r="AO60" s="121"/>
      <c r="AP60" s="121"/>
      <c r="AQ60" s="121"/>
      <c r="AR60" s="121"/>
      <c r="AS60" s="121"/>
      <c r="AT60" s="110"/>
      <c r="AU60" s="121"/>
      <c r="AV60" s="111" t="str">
        <f t="shared" ref="AV60" si="2462">IF($E60="H","HybridDD_Value",IF($E60=3,"TreDD_Value",IF($E60="PA","AcroPair_Value",IF(LEFT($F59,4)="Acro",CONCATENATE(AV$16,$E60,"_Value"),""))))</f>
        <v/>
      </c>
      <c r="AW60" s="111" t="str">
        <f t="shared" ref="AW60:AX60" si="2463">IF($E60="H","HybridDD_Value",IF($E60=3,"",IF(LEFT($F59,4)="Acro",CONCATENATE(AW$16,$E60,"_Value"),IF($E60="PA","",""))))</f>
        <v/>
      </c>
      <c r="AX60" s="111" t="str">
        <f t="shared" si="2463"/>
        <v/>
      </c>
      <c r="AY60" s="111" t="str">
        <f t="shared" ref="AY60:BD60" si="2464">IF($E60="H","HybridDD_Value",IF($E60=3,"",IF(LEFT($F59,4)="Acro",CONCATENATE(AY$16,$E60,"_Value"),IF($E60="PA","",""))))</f>
        <v/>
      </c>
      <c r="AZ60" s="111" t="str">
        <f t="shared" si="2464"/>
        <v/>
      </c>
      <c r="BA60" s="111" t="str">
        <f t="shared" si="2464"/>
        <v/>
      </c>
      <c r="BB60" s="111" t="str">
        <f t="shared" si="2464"/>
        <v/>
      </c>
      <c r="BC60" s="111" t="str">
        <f t="shared" si="2464"/>
        <v/>
      </c>
      <c r="BD60" s="111" t="str">
        <f t="shared" si="2464"/>
        <v/>
      </c>
      <c r="BE60" s="110" t="str">
        <f t="shared" ref="BE60" si="2465">IF($E60="H","HybridDD_Value","Data!$BI$1:$BI$5")</f>
        <v>Data!$BI$1:$BI$5</v>
      </c>
      <c r="BF60" s="110" t="str">
        <f t="shared" si="2392"/>
        <v>Data!$BI$1:$BI$5</v>
      </c>
      <c r="BG60" s="110" t="str">
        <f t="shared" si="2392"/>
        <v>Data!$BI$1:$BI$5</v>
      </c>
      <c r="BH60" s="110" t="str">
        <f t="shared" si="2392"/>
        <v>Data!$BI$1:$BI$5</v>
      </c>
      <c r="BI60" s="110" t="str">
        <f t="shared" si="2392"/>
        <v>Data!$BI$1:$BI$5</v>
      </c>
      <c r="BJ60" s="110" t="str">
        <f t="shared" si="2392"/>
        <v>Data!$BI$1:$BI$5</v>
      </c>
      <c r="BK60" s="110" t="str">
        <f t="shared" si="2392"/>
        <v>Data!$BI$1:$BI$5</v>
      </c>
      <c r="BL60" s="110" t="str">
        <f t="shared" si="2392"/>
        <v>Data!$BI$1:$BI$5</v>
      </c>
      <c r="BM60" s="110" t="str">
        <f t="shared" si="2392"/>
        <v>Data!$BI$1:$BI$5</v>
      </c>
      <c r="BN60" s="110" t="str">
        <f t="shared" si="2392"/>
        <v>Data!$BI$1:$BI$5</v>
      </c>
      <c r="BO60" s="110" t="str">
        <f t="shared" si="2392"/>
        <v>Data!$BI$1:$BI$5</v>
      </c>
      <c r="BP60" s="121"/>
      <c r="BQ60" s="121"/>
      <c r="BR60" s="122" t="str">
        <f>IFERROR(IF(AND($BS$6="T",$BS$8="T",LEFT(F59,4)="Acro",AE60&gt;3),"X",IF($N$7="X",IF(AND(E60="C",AE60&gt;$CA$6),"X",IF(AND(E60="A",AE60&gt;$CA$4),"X",IF(AND(E60="B",AE60&gt;$CA$5),"X",IF(AND(E60="P",AE60&gt;$CA$7),"X","")))),"")),"")</f>
        <v/>
      </c>
      <c r="BS60" s="113"/>
      <c r="BU60" s="108"/>
      <c r="CA60" s="111"/>
      <c r="CB60" s="111"/>
      <c r="CC60" s="111"/>
      <c r="CG60" s="108" t="str">
        <f t="shared" si="1891"/>
        <v/>
      </c>
      <c r="CH60" s="108" t="str">
        <f t="shared" si="1892"/>
        <v/>
      </c>
      <c r="CI60" s="108" t="str">
        <f t="shared" si="1893"/>
        <v/>
      </c>
      <c r="CJ60" s="108" t="str">
        <f t="shared" si="1894"/>
        <v/>
      </c>
      <c r="CR60" s="108">
        <v>42</v>
      </c>
      <c r="DI60" s="108" t="str" cm="1">
        <f t="array" ref="DI60">IFERROR(INDEX(DK60:ED60,MATCH(TRUE,INDEX((DK60:ED60&lt;&gt;""),),0)),"")</f>
        <v/>
      </c>
      <c r="DK60" s="108" t="str">
        <f t="shared" ref="DK60" si="2466">IF(F59="Hybrid - Thrust + 2 connections",IF(COUNTIF($DK59:$ED59,DK59)&gt;1,DK59,""),IF(COUNTIF($DK59:$ED59,DK59)&gt;5,DK59,""))</f>
        <v/>
      </c>
      <c r="DL60" s="108" t="str">
        <f t="shared" ref="DL60" si="2467">IF(G59="Hybrid - Thrust + 2 connections",IF(COUNTIF($DK59:$ED59,DL59)&gt;1,DL59,""),IF(COUNTIF($DK59:$ED59,DL59)&gt;5,DL59,""))</f>
        <v/>
      </c>
      <c r="DM60" s="108" t="str">
        <f t="shared" ref="DM60" si="2468">IF(H59="Hybrid - Thrust + 2 connections",IF(COUNTIF($DK59:$ED59,DM59)&gt;1,DM59,""),IF(COUNTIF($DK59:$ED59,DM59)&gt;5,DM59,""))</f>
        <v/>
      </c>
      <c r="DN60" s="108" t="str">
        <f t="shared" ref="DN60" si="2469">IF(I59="Hybrid - Thrust + 2 connections",IF(COUNTIF($DK59:$ED59,DN59)&gt;1,DN59,""),IF(COUNTIF($DK59:$ED59,DN59)&gt;5,DN59,""))</f>
        <v/>
      </c>
      <c r="DO60" s="108" t="str">
        <f t="shared" ref="DO60" si="2470">IF(J59="Hybrid - Thrust + 2 connections",IF(COUNTIF($DK59:$ED59,DO59)&gt;1,DO59,""),IF(COUNTIF($DK59:$ED59,DO59)&gt;5,DO59,""))</f>
        <v/>
      </c>
      <c r="DP60" s="108" t="str">
        <f t="shared" ref="DP60" si="2471">IF(K59="Hybrid - Thrust + 2 connections",IF(COUNTIF($DK59:$ED59,DP59)&gt;1,DP59,""),IF(COUNTIF($DK59:$ED59,DP59)&gt;5,DP59,""))</f>
        <v/>
      </c>
      <c r="DQ60" s="108" t="str">
        <f t="shared" ref="DQ60" si="2472">IF(L59="Hybrid - Thrust + 2 connections",IF(COUNTIF($DK59:$ED59,DQ59)&gt;1,DQ59,""),IF(COUNTIF($DK59:$ED59,DQ59)&gt;5,DQ59,""))</f>
        <v/>
      </c>
      <c r="DR60" s="108" t="str">
        <f t="shared" ref="DR60" si="2473">IF(M59="Hybrid - Thrust + 2 connections",IF(COUNTIF($DK59:$ED59,DR59)&gt;1,DR59,""),IF(COUNTIF($DK59:$ED59,DR59)&gt;5,DR59,""))</f>
        <v/>
      </c>
      <c r="DS60" s="108" t="str">
        <f t="shared" ref="DS60" si="2474">IF(N59="Hybrid - Thrust + 2 connections",IF(COUNTIF($DK59:$ED59,DS59)&gt;1,DS59,""),IF(COUNTIF($DK59:$ED59,DS59)&gt;5,DS59,""))</f>
        <v/>
      </c>
      <c r="DT60" s="108" t="str">
        <f t="shared" ref="DT60" si="2475">IF(O59="Hybrid - Thrust + 2 connections",IF(COUNTIF($DK59:$ED59,DT59)&gt;1,DT59,""),IF(COUNTIF($DK59:$ED59,DT59)&gt;5,DT59,""))</f>
        <v/>
      </c>
      <c r="DU60" s="108" t="str">
        <f t="shared" ref="DU60" si="2476">IF(P59="Hybrid - Thrust + 2 connections",IF(COUNTIF($DK59:$ED59,DU59)&gt;1,DU59,""),IF(COUNTIF($DK59:$ED59,DU59)&gt;5,DU59,""))</f>
        <v/>
      </c>
      <c r="DV60" s="108" t="str">
        <f t="shared" ref="DV60" si="2477">IF(Q59="Hybrid - Thrust + 2 connections",IF(COUNTIF($DK59:$ED59,DV59)&gt;1,DV59,""),IF(COUNTIF($DK59:$ED59,DV59)&gt;5,DV59,""))</f>
        <v/>
      </c>
      <c r="DW60" s="108" t="str">
        <f t="shared" ref="DW60" si="2478">IF(R59="Hybrid - Thrust + 2 connections",IF(COUNTIF($DK59:$ED59,DW59)&gt;1,DW59,""),IF(COUNTIF($DK59:$ED59,DW59)&gt;5,DW59,""))</f>
        <v/>
      </c>
      <c r="DX60" s="108" t="str">
        <f t="shared" ref="DX60" si="2479">IF(S59="Hybrid - Thrust + 2 connections",IF(COUNTIF($DK59:$ED59,DX59)&gt;1,DX59,""),IF(COUNTIF($DK59:$ED59,DX59)&gt;5,DX59,""))</f>
        <v/>
      </c>
      <c r="DY60" s="108" t="str">
        <f t="shared" ref="DY60" si="2480">IF(T59="Hybrid - Thrust + 2 connections",IF(COUNTIF($DK59:$ED59,DY59)&gt;1,DY59,""),IF(COUNTIF($DK59:$ED59,DY59)&gt;5,DY59,""))</f>
        <v/>
      </c>
      <c r="DZ60" s="108" t="str">
        <f t="shared" ref="DZ60" si="2481">IF(U59="Hybrid - Thrust + 2 connections",IF(COUNTIF($DK59:$ED59,DZ59)&gt;1,DZ59,""),IF(COUNTIF($DK59:$ED59,DZ59)&gt;5,DZ59,""))</f>
        <v/>
      </c>
      <c r="EA60" s="108" t="str">
        <f t="shared" ref="EA60" si="2482">IF(V59="Hybrid - Thrust + 2 connections",IF(COUNTIF($DK59:$ED59,EA59)&gt;1,EA59,""),IF(COUNTIF($DK59:$ED59,EA59)&gt;5,EA59,""))</f>
        <v/>
      </c>
      <c r="EB60" s="108" t="str">
        <f t="shared" ref="EB60" si="2483">IF(W59="Hybrid - Thrust + 2 connections",IF(COUNTIF($DK59:$ED59,EB59)&gt;1,EB59,""),IF(COUNTIF($DK59:$ED59,EB59)&gt;5,EB59,""))</f>
        <v/>
      </c>
      <c r="EC60" s="108" t="str">
        <f t="shared" ref="EC60" si="2484">IF(X59="Hybrid - Thrust + 2 connections",IF(COUNTIF($DK59:$ED59,EC59)&gt;1,EC59,""),IF(COUNTIF($DK59:$ED59,EC59)&gt;5,EC59,""))</f>
        <v/>
      </c>
      <c r="ED60" s="108" t="str">
        <f t="shared" ref="ED60" si="2485">IF(Y59="Hybrid - Thrust + 2 connections",IF(COUNTIF($DK59:$ED59,ED59)&gt;1,ED59,""),IF(COUNTIF($DK59:$ED59,ED59)&gt;5,ED59,""))</f>
        <v/>
      </c>
      <c r="EE60" s="108"/>
      <c r="EF60" s="108" t="str" cm="1">
        <f t="array" ref="EF60">IFERROR(INDEX(EG60:EZ60,MATCH(TRUE,INDEX((EG60:EZ60&lt;&gt;""),),0)),"")</f>
        <v/>
      </c>
      <c r="EG60" s="108" t="str">
        <f t="shared" ref="EG60" si="2486">IF(COUNTIF($EG59:$EZ59,EG59)&gt;3,EG59,"")</f>
        <v/>
      </c>
      <c r="EH60" s="108" t="str">
        <f t="shared" ref="EH60" si="2487">IF(COUNTIF($EG59:$EZ59,EH59)&gt;3,EH59,"")</f>
        <v/>
      </c>
      <c r="EI60" s="108" t="str">
        <f t="shared" ref="EI60" si="2488">IF(COUNTIF($EG59:$EZ59,EI59)&gt;3,EI59,"")</f>
        <v/>
      </c>
      <c r="EJ60" s="108" t="str">
        <f t="shared" ref="EJ60" si="2489">IF(COUNTIF($EG59:$EZ59,EJ59)&gt;3,EJ59,"")</f>
        <v/>
      </c>
      <c r="EK60" s="108" t="str">
        <f t="shared" ref="EK60" si="2490">IF(COUNTIF($EG59:$EZ59,EK59)&gt;3,EK59,"")</f>
        <v/>
      </c>
      <c r="EL60" s="108" t="str">
        <f t="shared" ref="EL60" si="2491">IF(COUNTIF($EG59:$EZ59,EL59)&gt;3,EL59,"")</f>
        <v/>
      </c>
      <c r="EM60" s="108" t="str">
        <f t="shared" ref="EM60" si="2492">IF(COUNTIF($EG59:$EZ59,EM59)&gt;3,EM59,"")</f>
        <v/>
      </c>
      <c r="EN60" s="108" t="str">
        <f t="shared" ref="EN60" si="2493">IF(COUNTIF($EG59:$EZ59,EN59)&gt;3,EN59,"")</f>
        <v/>
      </c>
      <c r="EO60" s="108" t="str">
        <f t="shared" ref="EO60" si="2494">IF(COUNTIF($EG59:$EZ59,EO59)&gt;3,EO59,"")</f>
        <v/>
      </c>
      <c r="EP60" s="108" t="str">
        <f t="shared" ref="EP60" si="2495">IF(COUNTIF($EG59:$EZ59,EP59)&gt;3,EP59,"")</f>
        <v/>
      </c>
      <c r="EQ60" s="108" t="str">
        <f t="shared" ref="EQ60" si="2496">IF(COUNTIF($EG59:$EZ59,EQ59)&gt;3,EQ59,"")</f>
        <v/>
      </c>
      <c r="ER60" s="108" t="str">
        <f t="shared" ref="ER60" si="2497">IF(COUNTIF($EG59:$EZ59,ER59)&gt;3,ER59,"")</f>
        <v/>
      </c>
      <c r="ES60" s="108" t="str">
        <f t="shared" ref="ES60" si="2498">IF(COUNTIF($EG59:$EZ59,ES59)&gt;3,ES59,"")</f>
        <v/>
      </c>
      <c r="ET60" s="108" t="str">
        <f t="shared" ref="ET60" si="2499">IF(COUNTIF($EG59:$EZ59,ET59)&gt;3,ET59,"")</f>
        <v/>
      </c>
      <c r="EU60" s="108" t="str">
        <f t="shared" ref="EU60" si="2500">IF(COUNTIF($EG59:$EZ59,EU59)&gt;3,EU59,"")</f>
        <v/>
      </c>
      <c r="EV60" s="108" t="str">
        <f t="shared" ref="EV60" si="2501">IF(COUNTIF($EG59:$EZ59,EV59)&gt;3,EV59,"")</f>
        <v/>
      </c>
      <c r="EW60" s="108" t="str">
        <f t="shared" ref="EW60" si="2502">IF(COUNTIF($EG59:$EZ59,EW59)&gt;3,EW59,"")</f>
        <v/>
      </c>
      <c r="EX60" s="108" t="str">
        <f t="shared" ref="EX60" si="2503">IF(COUNTIF($EG59:$EZ59,EX59)&gt;3,EX59,"")</f>
        <v/>
      </c>
      <c r="EY60" s="108" t="str">
        <f t="shared" ref="EY60" si="2504">IF(COUNTIF($EG59:$EZ59,EY59)&gt;3,EY59,"")</f>
        <v/>
      </c>
      <c r="EZ60" s="108" t="str">
        <f t="shared" ref="EZ60" si="2505">IF(COUNTIF($EG59:$EZ59,EZ59)&gt;3,EZ59,"")</f>
        <v/>
      </c>
      <c r="FA60" s="108"/>
      <c r="FB60" s="108"/>
      <c r="FC60" s="108"/>
      <c r="FD60" s="108"/>
      <c r="FE60" s="108"/>
      <c r="FF60" s="108"/>
      <c r="FG60" s="108"/>
      <c r="FH60" s="108"/>
      <c r="FI60" s="108" t="str">
        <f t="shared" ref="FI60" si="2506">IF($F59="Hybrid - Thrust + 2 connections",COUNTBLANK(J59:L59),"")</f>
        <v/>
      </c>
      <c r="FJ60" s="108"/>
      <c r="FN60" s="111"/>
    </row>
    <row r="61" spans="1:170" x14ac:dyDescent="0.3">
      <c r="A61" s="40" t="str">
        <f>IF(AND(E59="",A59&lt;&gt;""),IF(BS59=$BS$18,"",IF(C59&lt;&gt;"",IF(D59=59,MINUTE(BS59)+1,MINUTE(BS59)),"")),"")</f>
        <v/>
      </c>
      <c r="B61" s="41" t="str">
        <f>IF(AND(E59="",B59&lt;&gt;""),IF(BS59=$BS$18,"",IF(C59&lt;&gt;"",IF(D59=59,0,SECOND(BS59)+1),"")),"")</f>
        <v/>
      </c>
      <c r="C61" s="51"/>
      <c r="D61" s="51"/>
      <c r="E61" s="9"/>
      <c r="F61" s="52"/>
      <c r="G61" s="43" t="str">
        <f>IF(F61&lt;&gt;"",IF(OR(F61="Transition",F61="Transition - Surface Connection"),0,MAX($G$19:G60)+1),"")</f>
        <v/>
      </c>
      <c r="H61" s="57" t="str">
        <f t="shared" ref="H61" si="2507">IFERROR(IF(E62="3","",IF(OR(F61="Hybrid - min 4 swimmers (no DD)",LEFT(F61,5)="Trans"),"No DD",CONCATENATE("BM = ",I62))),"")</f>
        <v/>
      </c>
      <c r="I61" s="58"/>
      <c r="J61" s="130"/>
      <c r="K61" s="137"/>
      <c r="L61" s="137"/>
      <c r="M61" s="137"/>
      <c r="N61" s="137"/>
      <c r="O61" s="137"/>
      <c r="P61" s="137"/>
      <c r="Q61" s="137"/>
      <c r="R61" s="137"/>
      <c r="S61" s="137"/>
      <c r="T61" s="137"/>
      <c r="U61" s="137"/>
      <c r="V61" s="137"/>
      <c r="W61" s="137"/>
      <c r="X61" s="137"/>
      <c r="Y61" s="137"/>
      <c r="Z61" s="137"/>
      <c r="AA61" s="137"/>
      <c r="AB61" s="137"/>
      <c r="AC61" s="137"/>
      <c r="AD61" s="191"/>
      <c r="AE61" s="44"/>
      <c r="AF61" s="75"/>
      <c r="AG61" s="75"/>
      <c r="AH61" s="110"/>
      <c r="AI61" s="110"/>
      <c r="AJ61" s="110"/>
      <c r="AK61" s="110"/>
      <c r="AL61" s="110"/>
      <c r="AM61" s="110"/>
      <c r="AN61" s="110"/>
      <c r="AO61" s="110"/>
      <c r="AP61" s="110"/>
      <c r="AQ61" s="110"/>
      <c r="AR61" s="110"/>
      <c r="AS61" s="110"/>
      <c r="AT61" s="110" t="str">
        <f>IFERROR(IF(F61&lt;&gt;"",INDEX(Parts_Active,MATCH(F61,Parts_Active,0)),""),"No")</f>
        <v/>
      </c>
      <c r="AU61" s="110"/>
      <c r="AV61" s="110" t="str">
        <f t="shared" ref="AV61" si="2508">IF($E62="H",IF($F61="Hybrid - Thrust + 2 connections","Hybrid_Mix_Req","HybridDD_Code"),IF($E62=3,"TreDD_Code",IF($E62="PA","AcroPair_Code",IF(LEFT($F61,4)="Acro",CONCATENATE(AV$16,$E62,"_Code"),"Data!$BI$1:$BI$5"))))</f>
        <v>Data!$BI$1:$BI$5</v>
      </c>
      <c r="AW61" s="110" t="str">
        <f t="shared" ref="AW61" si="2509">IF($E62="H",IF($F61="Hybrid - Thrust + 2 connections","Hybrid_Mix_Req","HybridDD_Code"),IF($E62=3,"TreDD_Code",IF($E62="PA","AcroPair_Code",IF(LEFT($F61,4)="Acro",CONCATENATE(AW$16,$E62,"_Code"),"Data!$BI$1:$BI$5"))))</f>
        <v>Data!$BI$1:$BI$5</v>
      </c>
      <c r="AX61" s="110" t="str">
        <f t="shared" ref="AX61" si="2510">IF($E62="H",IF($F61="Hybrid - Thrust + 2 connections","Hybrid_Mix_Req","HybridDD_Code"),IF($E62=3,"TreDD_Code",IF($E62="PA","AcroPair_Code",IF(LEFT($F61,4)="Acro",CONCATENATE(AX$16,$E62,"_Code"),"Data!$BI$1:$BI$5"))))</f>
        <v>Data!$BI$1:$BI$5</v>
      </c>
      <c r="AY61" s="110" t="str">
        <f t="shared" ref="AY61" si="2511">IF($E62="H",IF($F61="Hybrid - Thrust + 2 connections","Data!$BI$1:$BI$5","HybridDD_Code"),IF($E62=3,"Data!$BI$1:$BI$5",IF(LEFT($F61,4)="Acro",CONCATENATE(AY$16,$E62,"_Code"),IF($E62="PA","","Data!$BI$1:$BI$5"))))</f>
        <v>Data!$BI$1:$BI$5</v>
      </c>
      <c r="AZ61" s="110" t="str">
        <f t="shared" ref="AZ61" si="2512">IF($E62="H",IF($F61="Hybrid - Thrust + 2 connections","Data!$BI$1:$BI$5","HybridDD_Code"),IF($E62=3,"Data!$BI$1:$BI$5",IF(LEFT($F61,4)="Acro",CONCATENATE(AZ$16,$E62,"_Code"),IF($E62="PA","","Data!$BI$1:$BI$5"))))</f>
        <v>Data!$BI$1:$BI$5</v>
      </c>
      <c r="BA61" s="110" t="str">
        <f t="shared" ref="BA61" si="2513">IF($E62="H",IF($F61="Hybrid - Thrust + 2 connections","Data!$BI$1:$BI$5","HybridDD_Code"),IF($E62=3,"Data!$BI$1:$BI$5",IF(LEFT($F61,4)="Acro",CONCATENATE(BA$16,$E62,"_Code"),IF($E62="PA","","Data!$BI$1:$BI$5"))))</f>
        <v>Data!$BI$1:$BI$5</v>
      </c>
      <c r="BB61" s="110" t="str">
        <f t="shared" ref="BB61" si="2514">IF($E62="H",IF($F61="Hybrid - Thrust + 2 connections","Data!$BI$1:$BI$5","HybridDD_Code"),IF($E62=3,"Data!$BI$1:$BI$5",IF(LEFT($F61,4)="Acro",CONCATENATE(BB$16,$E62,"_Code"),IF($E62="PA","","Data!$BI$1:$BI$5"))))</f>
        <v>Data!$BI$1:$BI$5</v>
      </c>
      <c r="BC61" s="110" t="str">
        <f t="shared" ref="BC61" si="2515">IF($E62="H",IF($F61="Hybrid - Thrust + 2 connections","Data!$BI$1:$BI$5","HybridDD_Code"),IF($E62=3,"Data!$BI$1:$BI$5",IF(LEFT($F61,4)="Acro",CONCATENATE(BC$16,$E62,"_Code"),IF($E62="PA","","Data!$BI$1:$BI$5"))))</f>
        <v>Data!$BI$1:$BI$5</v>
      </c>
      <c r="BD61" s="110" t="str">
        <f t="shared" ref="BD61" si="2516">IF($E62="H",IF($F61="Hybrid - Thrust + 2 connections","Data!$BI$1:$BI$5","HybridDD_Code"),IF($E62=3,"Data!$BI$1:$BI$5",IF(LEFT($F61,4)="Acro",CONCATENATE(BD$16,$E62,"_Code"),IF($E62="PA","","Data!$BI$1:$BI$5"))))</f>
        <v>Data!$BI$1:$BI$5</v>
      </c>
      <c r="BE61" s="110" t="str">
        <f t="shared" ref="BE61" si="2517">IF($E62="H",IF($F61="Hybrid - Thrust + 2 connections","Data!$BI$1:$BI$5","HybridDD_Code"),"Data!$BI$1:$BI$5")</f>
        <v>Data!$BI$1:$BI$5</v>
      </c>
      <c r="BF61" s="110" t="str">
        <f t="shared" si="2392"/>
        <v>Data!$BI$1:$BI$5</v>
      </c>
      <c r="BG61" s="110" t="str">
        <f t="shared" si="2392"/>
        <v>Data!$BI$1:$BI$5</v>
      </c>
      <c r="BH61" s="110" t="str">
        <f t="shared" si="2392"/>
        <v>Data!$BI$1:$BI$5</v>
      </c>
      <c r="BI61" s="110" t="str">
        <f t="shared" si="2392"/>
        <v>Data!$BI$1:$BI$5</v>
      </c>
      <c r="BJ61" s="110" t="str">
        <f t="shared" si="2392"/>
        <v>Data!$BI$1:$BI$5</v>
      </c>
      <c r="BK61" s="110" t="str">
        <f t="shared" si="2392"/>
        <v>Data!$BI$1:$BI$5</v>
      </c>
      <c r="BL61" s="110" t="str">
        <f t="shared" si="2392"/>
        <v>Data!$BI$1:$BI$5</v>
      </c>
      <c r="BM61" s="110" t="str">
        <f t="shared" si="2392"/>
        <v>Data!$BI$1:$BI$5</v>
      </c>
      <c r="BN61" s="110" t="str">
        <f t="shared" si="2392"/>
        <v>Data!$BI$1:$BI$5</v>
      </c>
      <c r="BO61" s="110" t="str">
        <f t="shared" si="2392"/>
        <v>Data!$BI$1:$BI$5</v>
      </c>
      <c r="BP61" s="110"/>
      <c r="BQ61" s="110"/>
      <c r="BR61" s="113" t="str">
        <f t="shared" ref="BR61" si="2518">IFERROR(TIME(0,A61,B61),"")</f>
        <v/>
      </c>
      <c r="BS61" s="114">
        <f>IFERROR(TIME(0,C61,D61),"")</f>
        <v>0</v>
      </c>
      <c r="BT61" s="114" t="str">
        <f t="shared" ref="BT61" si="2519">IF(BS61&gt;$D$12,"X","")</f>
        <v/>
      </c>
      <c r="BU61" s="108" t="str">
        <f>IF(AND(F61="Hybrid - Thrust + 2 connections",OR(LEFT(J61,1)="T",LEFT(K61,1)="T",LEFT(L61,1)="T",LEFT(NG61,1)="T",LEFT(M61,1)="T",LEFT(N61,1)="T",LEFT(O61,1)="T",LEFT(P61,1)="T",LEFT(Q61,1)="T",LEFT(R61,1)="T",LEFT(S61,1)="T",LEFT(T61,1)="T",LEFT(U61,1)="T",LEFT(V61,1)="T",LEFT(W61,1)="T",LEFT(X61,1)="T",LEFT(AA61,1)="T",LEFT(AB61,1)="T",LEFT(AC61,1)="T")),IF(OR(LEN(J61)=2,LEN(K61)=2,LEN(L61)=2,LEN(M61)=2,LEN(N61)=2,LEN(O61)=2,LEN(P61)=2,LEN(Q61)=2,LEN(R61)=2,LEN(S61)=2,LEN(T61)=2,LEN(U61)=2,LEN(V61)=2,LEN(W61)=2,LEN(X61)=2,LEN(Y61)=2,LEN(Z61)=2,LEN(AA61)=2,LEN(AB61)=2,LEN(AC61)=2),"X",""),"")</f>
        <v/>
      </c>
      <c r="BW61" s="108" t="str">
        <f>IF(LEFT(F61,4)="Acro",IF(AND(N61&lt;&gt;"",M61=RIGHT(N61,2)),"X","OK"),"")</f>
        <v/>
      </c>
      <c r="BX61" s="110" t="str">
        <f t="shared" ref="BX61:CE61" si="2520">IFERROR(IF(AND(LEFT($F61,4)="Acro",INDEX(Requ_App,MATCH(AV61,Requ_Code,0))="No"),"X",""),"")</f>
        <v/>
      </c>
      <c r="BY61" s="110" t="str">
        <f t="shared" si="2520"/>
        <v/>
      </c>
      <c r="BZ61" s="110" t="str">
        <f t="shared" si="2520"/>
        <v/>
      </c>
      <c r="CA61" s="110" t="str">
        <f t="shared" si="2520"/>
        <v/>
      </c>
      <c r="CB61" s="110" t="str">
        <f t="shared" si="2520"/>
        <v/>
      </c>
      <c r="CC61" s="110" t="str">
        <f t="shared" si="2520"/>
        <v/>
      </c>
      <c r="CD61" s="110" t="str">
        <f t="shared" si="2520"/>
        <v/>
      </c>
      <c r="CE61" s="110" t="str">
        <f t="shared" si="2520"/>
        <v/>
      </c>
      <c r="CF61" s="110" t="str">
        <f>IFERROR(IF(AND(LEFT($F61,4)="Acro",INDEX(Requ_App,MATCH(BC61,Requ_Code,0))="No"),"X",""),"")</f>
        <v/>
      </c>
      <c r="CG61" s="108" t="str">
        <f t="shared" si="1891"/>
        <v/>
      </c>
      <c r="CH61" s="108" t="str">
        <f t="shared" si="1892"/>
        <v/>
      </c>
      <c r="CI61" s="108" t="str">
        <f t="shared" si="1893"/>
        <v/>
      </c>
      <c r="CJ61" s="108" t="str">
        <f t="shared" si="1894"/>
        <v/>
      </c>
      <c r="CN61" s="108">
        <f t="shared" ref="CN61" si="2521">IF(AND(E62="A",OR(Q61="Grip",Q61="Conn",Q61="Catch")),"A1",IF(AND(E62="A",OR(Q61="Hula",Q61="RetSq",Q61="RetPa")),"A2",IF(AND(E62="B",OR(Q61="Twirl",Q61="RotF")),"B1",IF(AND(E62="B",OR(Q61="Moon",Q61="Mov")),"B2",IF(AND(E62="B",Q61="Hold"),"B3",IF(AND(E62="P",OR(Q61="Porp",Q61="Spitch")),"P1",IF(AND(E62="P",OR(Q61="Dive",Q61="Ps1",Q61="Ps1t0.5",Q61="Ps1op",Q61="Ps1t0,5o",Q61="Ps1t1",Q61="CH+")),"P2",IF(AND(E62="P",OR(Q61="Spider",Q61="Climb")),"P3",IF(AND(E62="P",OR(Q61="Fall",Q61="FTurn")),"P4",IF(AND(E62="C",OR(Q61="Jump",Q61="Jump&gt;",Q61="On1Foot",Q61="1F&gt;1F")),"C1",IF(AND(E62="C",OR(Q61="Run",Q61="BRun")),"C2",1)))))))))))</f>
        <v>1</v>
      </c>
      <c r="CO61" s="108">
        <f t="shared" ref="CO61" si="2522">IF(AND(E62="A",OR(R61="Grip",R61="Conn",R61="Catch")),"A1",IF(AND(E62="A",OR(R61="Hula",R61="RetSq",R61="RetPa")),"A2",IF(AND(E62="B",OR(R61="Twirl",R61="RotF")),"B1",IF(AND(E62="B",OR(R61="Moon",R61="Mov")),"B3",IF(AND(E62="B",R61="Hold"),"B2",IF(AND(E62="P",OR(R61="Porp",R61="Spitch")),"P1",IF(AND(E62="P",OR(R61="Dive",R61="Ps1",R61="Ps1t0.5",R61="Ps1op",R61="Ps1t0,5o",R61="Ps1t1",R61="CH+")),"P2",IF(AND(E62="P",OR(R61="Spider",R61="Climb")),"P3",IF(AND(E62="P",OR(R61="Fall",R61="FTurn")),"P4",IF(AND(E62="C",OR(R61="Jump",R61="Jump&gt;",R61="On1Foot",R61="1F&gt;1F")),"C1",IF(AND(E62="C",OR(R61="Run",R61="BRun")),"C2",2)))))))))))</f>
        <v>2</v>
      </c>
      <c r="CP61" s="108" t="str">
        <f t="shared" ref="CP61" si="2523">IF(AND(LEFT(F61,4)="Acro",Q61&lt;&gt;"",OR(Q61=R61,CN61=CO61)),IF(R61="C-Roll","","X"),IF(OR(AND(E62="A",Q61="Catch",R61&lt;&gt;"Dbl"),AND(E62="A",R61="Catch",Q61&lt;&gt;"Dbl")),"X",""))</f>
        <v/>
      </c>
      <c r="CQ61" s="108" t="str">
        <f t="shared" ref="CQ61" si="2524">IF(E62="PA",J61,"")</f>
        <v/>
      </c>
      <c r="CR61" s="108">
        <v>43</v>
      </c>
      <c r="CT61" s="108" t="str">
        <f t="shared" ref="CT61" si="2525">IF(AND($E62="A",COUNTIF($DC$19:$DD$68,DC61)&gt;1),DC61,"")</f>
        <v/>
      </c>
      <c r="CU61" s="108" t="str">
        <f t="shared" ref="CU61" si="2526">IF(AND($E62="A",COUNTIF($DC$19:$DD$68,DD61)&gt;1),DD61,"")</f>
        <v/>
      </c>
      <c r="CV61" s="108" t="str">
        <f t="shared" ref="CV61" ca="1" si="2527">IF(AND($E62="B",COUNTIF($J$19:$J$68,J61)&gt;1),J61,"")</f>
        <v/>
      </c>
      <c r="CW61" s="108" t="str">
        <f t="shared" ref="CW61" ca="1" si="2528">IF(AND($E62="B",COUNTIF($K$19:$K$68,K61)&gt;1),K61,"")</f>
        <v/>
      </c>
      <c r="CX61" s="108" t="str">
        <f t="shared" ref="CX61" ca="1" si="2529">IF(AND($E62="C",COUNTIF($J$19:$J$68,J61)&gt;1),J61,"")</f>
        <v/>
      </c>
      <c r="CY61" s="108" t="str">
        <f t="shared" ref="CY61" ca="1" si="2530">IF(AND($E62="P",COUNTIF($J$19:$J$68,J61)&gt;1),J61,"")</f>
        <v/>
      </c>
      <c r="CZ61" s="108" t="str">
        <f t="shared" ref="CZ61" ca="1" si="2531">IF(AND($E62="P",COUNTIF($K$19:$K$68,K61)&gt;1),K61,"")</f>
        <v/>
      </c>
      <c r="DA61" s="108" t="str">
        <f t="shared" ref="DA61" si="2532">IF(AND($E62="P",COUNTIF($DC$19:$DD$68,DC61)&gt;1),DC61,"")</f>
        <v/>
      </c>
      <c r="DB61" s="108" t="str">
        <f t="shared" ref="DB61" si="2533">IF(AND($E62="P",COUNTIF($DC$19:$DD$68,DD61)&gt;1),DD61,"")</f>
        <v/>
      </c>
      <c r="DC61" s="108" t="str">
        <f t="shared" ref="DC61" si="2534">IFERROR(IF(OR(E62="A",E62="P"),M61,""),"")</f>
        <v/>
      </c>
      <c r="DD61" s="108" t="str">
        <f t="shared" ref="DD61" si="2535">IFERROR(IF(OR(E62="A",E62="P"),RIGHT(N61,2),""),"")</f>
        <v/>
      </c>
      <c r="DF61" s="108" t="str">
        <f t="shared" ref="DF61" si="2536">IF(AND($F$8="Open Team Acrobatic",LEFT(F61,4)="Acro"),E62,"")</f>
        <v/>
      </c>
      <c r="DG61" s="108" t="str">
        <f t="shared" ref="DG61" si="2537">IFERROR(IF(HLOOKUP(DF61,$DD$12:$DG$13,2,FALSE)&gt;2,"X",""),"")</f>
        <v/>
      </c>
      <c r="DI61" s="108" t="str">
        <f t="shared" ref="DI61" si="2538">IF(OR(AND(F61="Hybrid - Thrust + 2 connections",DI62="T"),AND(F61="Hybrid - Free",DI62&lt;&gt;"")),"X","")</f>
        <v/>
      </c>
      <c r="DK61" s="108">
        <f t="shared" ref="DK61" si="2539">IFERROR(IF(AND($E62="H",J61&lt;&gt;""),IF(OR(LEFT(J61,1)="T",LEFT(J61,1)="S",LEFT(J61,1)="A",LEFT(J61,1)="F",LEFT(J61,1)="C"),LEFT(J61,1),"R"),DK$18),"")</f>
        <v>1</v>
      </c>
      <c r="DL61" s="108">
        <f t="shared" ref="DL61" si="2540">IFERROR(IF(AND($E62="H",K61&lt;&gt;""),IF(OR(LEFT(K61,1)="T",LEFT(K61,1)="S",LEFT(K61,1)="A",LEFT(K61,1)="F",LEFT(K61,1)="C"),LEFT(K61,1),"R"),DL$18),"")</f>
        <v>2</v>
      </c>
      <c r="DM61" s="108">
        <f t="shared" ref="DM61" si="2541">IFERROR(IF(AND($E62="H",L61&lt;&gt;""),IF(OR(LEFT(L61,1)="T",LEFT(L61,1)="S",LEFT(L61,1)="A",LEFT(L61,1)="F",LEFT(L61,1)="C"),LEFT(L61,1),"R"),DM$18),"")</f>
        <v>3</v>
      </c>
      <c r="DN61" s="108">
        <f t="shared" ref="DN61" si="2542">IFERROR(IF(AND($E62="H",M61&lt;&gt;""),IF(OR(LEFT(M61,1)="T",LEFT(M61,1)="S",LEFT(M61,1)="A",LEFT(M61,1)="F",LEFT(M61,1)="C"),LEFT(M61,1),"R"),DN$18),"")</f>
        <v>4</v>
      </c>
      <c r="DO61" s="108">
        <f t="shared" ref="DO61" si="2543">IFERROR(IF(AND($E62="H",N61&lt;&gt;""),IF(OR(LEFT(N61,1)="T",LEFT(N61,1)="S",LEFT(N61,1)="A",LEFT(N61,1)="F",LEFT(N61,1)="C"),LEFT(N61,1),"R"),DO$18),"")</f>
        <v>5</v>
      </c>
      <c r="DP61" s="108">
        <f t="shared" ref="DP61" si="2544">IFERROR(IF(AND($E62="H",O61&lt;&gt;""),IF(OR(LEFT(O61,1)="T",LEFT(O61,1)="S",LEFT(O61,1)="A",LEFT(O61,1)="F",LEFT(O61,1)="C"),LEFT(O61,1),"R"),DP$18),"")</f>
        <v>6</v>
      </c>
      <c r="DQ61" s="108">
        <f t="shared" ref="DQ61" si="2545">IFERROR(IF(AND($E62="H",P61&lt;&gt;""),IF(OR(LEFT(P61,1)="T",LEFT(P61,1)="S",LEFT(P61,1)="A",LEFT(P61,1)="F",LEFT(P61,1)="C"),LEFT(P61,1),"R"),DQ$18),"")</f>
        <v>7</v>
      </c>
      <c r="DR61" s="108">
        <f t="shared" ref="DR61" si="2546">IFERROR(IF(AND($E62="H",Q61&lt;&gt;""),IF(OR(LEFT(Q61,1)="T",LEFT(Q61,1)="S",LEFT(Q61,1)="A",LEFT(Q61,1)="F",LEFT(Q61,1)="C"),LEFT(Q61,1),"R"),DR$18),"")</f>
        <v>8</v>
      </c>
      <c r="DS61" s="108">
        <f t="shared" ref="DS61" si="2547">IFERROR(IF(AND($E62="H",R61&lt;&gt;""),IF(OR(LEFT(R61,1)="T",LEFT(R61,1)="S",LEFT(R61,1)="A",LEFT(R61,1)="F",LEFT(R61,1)="C"),LEFT(R61,1),"R"),DS$18),"")</f>
        <v>9</v>
      </c>
      <c r="DT61" s="108">
        <f t="shared" ref="DT61" si="2548">IFERROR(IF(AND($E62="H",S61&lt;&gt;""),IF(OR(LEFT(S61,1)="T",LEFT(S61,1)="S",LEFT(S61,1)="A",LEFT(S61,1)="F",LEFT(S61,1)="C"),LEFT(S61,1),"R"),DT$18),"")</f>
        <v>10</v>
      </c>
      <c r="DU61" s="108">
        <f t="shared" ref="DU61" si="2549">IFERROR(IF(AND($E62="H",T61&lt;&gt;""),IF(OR(LEFT(T61,1)="T",LEFT(T61,1)="S",LEFT(T61,1)="A",LEFT(T61,1)="F",LEFT(T61,1)="C"),LEFT(T61,1),"R"),DU$18),"")</f>
        <v>11</v>
      </c>
      <c r="DV61" s="108">
        <f t="shared" ref="DV61" si="2550">IFERROR(IF(AND($E62="H",U61&lt;&gt;""),IF(OR(LEFT(U61,1)="T",LEFT(U61,1)="S",LEFT(U61,1)="A",LEFT(U61,1)="F",LEFT(U61,1)="C"),LEFT(U61,1),"R"),DV$18),"")</f>
        <v>12</v>
      </c>
      <c r="DW61" s="108">
        <f t="shared" ref="DW61" si="2551">IFERROR(IF(AND($E62="H",V61&lt;&gt;""),IF(OR(LEFT(V61,1)="T",LEFT(V61,1)="S",LEFT(V61,1)="A",LEFT(V61,1)="F",LEFT(V61,1)="C"),LEFT(V61,1),"R"),DW$18),"")</f>
        <v>13</v>
      </c>
      <c r="DX61" s="108">
        <f t="shared" ref="DX61" si="2552">IFERROR(IF(AND($E62="H",W61&lt;&gt;""),IF(OR(LEFT(W61,1)="T",LEFT(W61,1)="S",LEFT(W61,1)="A",LEFT(W61,1)="F",LEFT(W61,1)="C"),LEFT(W61,1),"R"),DX$18),"")</f>
        <v>14</v>
      </c>
      <c r="DY61" s="108">
        <f t="shared" ref="DY61" si="2553">IFERROR(IF(AND($E62="H",X61&lt;&gt;""),IF(OR(LEFT(X61,1)="T",LEFT(X61,1)="S",LEFT(X61,1)="A",LEFT(X61,1)="F",LEFT(X61,1)="C"),LEFT(X61,1),"R"),DY$18),"")</f>
        <v>15</v>
      </c>
      <c r="DZ61" s="108">
        <f t="shared" ref="DZ61" si="2554">IFERROR(IF(AND($E62="H",Y61&lt;&gt;""),IF(OR(LEFT(Y61,1)="T",LEFT(Y61,1)="S",LEFT(Y61,1)="A",LEFT(Y61,1)="F",LEFT(Y61,1)="C"),LEFT(Y61,1),"R"),DZ$18),"")</f>
        <v>16</v>
      </c>
      <c r="EA61" s="108">
        <f t="shared" ref="EA61" si="2555">IFERROR(IF(AND($E62="H",Z61&lt;&gt;""),IF(OR(LEFT(Z61,1)="T",LEFT(Z61,1)="S",LEFT(Z61,1)="A",LEFT(Z61,1)="F",LEFT(Z61,1)="C"),LEFT(Z61,1),"R"),EA$18),"")</f>
        <v>17</v>
      </c>
      <c r="EB61" s="108">
        <f t="shared" ref="EB61" si="2556">IFERROR(IF(AND($E62="H",AA61&lt;&gt;""),IF(OR(LEFT(AA61,1)="T",LEFT(AA61,1)="S",LEFT(AA61,1)="A",LEFT(AA61,1)="F",LEFT(AA61,1)="C"),LEFT(AA61,1),"R"),EB$18),"")</f>
        <v>18</v>
      </c>
      <c r="EC61" s="108">
        <f t="shared" ref="EC61" si="2557">IFERROR(IF(AND($E62="H",AB61&lt;&gt;""),IF(OR(LEFT(AB61,1)="T",LEFT(AB61,1)="S",LEFT(AB61,1)="A",LEFT(AB61,1)="F",LEFT(AB61,1)="C"),LEFT(AB61,1),"R"),EC$18),"")</f>
        <v>19</v>
      </c>
      <c r="ED61" s="108">
        <f t="shared" ref="ED61" si="2558">IFERROR(IF(AND($E62="H",AC61&lt;&gt;""),IF(OR(LEFT(AC61,1)="T",LEFT(AC61,1)="S",LEFT(AC61,1)="A",LEFT(AC61,1)="F",LEFT(AC61,1)="C"),LEFT(AC61,1),"R"),ED$18),"")</f>
        <v>20</v>
      </c>
      <c r="EE61" s="108"/>
      <c r="EF61" s="108"/>
      <c r="EG61" s="108">
        <f t="shared" ref="EG61:EZ61" si="2559">IFERROR(IF(J61&lt;&gt;"",UPPER(J61),EG$18),EG$18)</f>
        <v>1</v>
      </c>
      <c r="EH61" s="108">
        <f t="shared" si="2559"/>
        <v>2</v>
      </c>
      <c r="EI61" s="108">
        <f t="shared" si="2559"/>
        <v>3</v>
      </c>
      <c r="EJ61" s="108">
        <f t="shared" si="2559"/>
        <v>4</v>
      </c>
      <c r="EK61" s="108">
        <f t="shared" si="2559"/>
        <v>5</v>
      </c>
      <c r="EL61" s="108">
        <f t="shared" si="2559"/>
        <v>6</v>
      </c>
      <c r="EM61" s="108">
        <f t="shared" si="2559"/>
        <v>7</v>
      </c>
      <c r="EN61" s="108">
        <f t="shared" si="2559"/>
        <v>8</v>
      </c>
      <c r="EO61" s="108">
        <f t="shared" si="2559"/>
        <v>9</v>
      </c>
      <c r="EP61" s="108">
        <f t="shared" si="2559"/>
        <v>10</v>
      </c>
      <c r="EQ61" s="108">
        <f t="shared" si="2559"/>
        <v>11</v>
      </c>
      <c r="ER61" s="108">
        <f t="shared" si="2559"/>
        <v>12</v>
      </c>
      <c r="ES61" s="108">
        <f t="shared" si="2559"/>
        <v>13</v>
      </c>
      <c r="ET61" s="108">
        <f t="shared" si="2559"/>
        <v>14</v>
      </c>
      <c r="EU61" s="108">
        <f t="shared" si="2559"/>
        <v>15</v>
      </c>
      <c r="EV61" s="108">
        <f t="shared" si="2559"/>
        <v>16</v>
      </c>
      <c r="EW61" s="108">
        <f t="shared" si="2559"/>
        <v>17</v>
      </c>
      <c r="EX61" s="108">
        <f t="shared" si="2559"/>
        <v>18</v>
      </c>
      <c r="EY61" s="108">
        <f t="shared" si="2559"/>
        <v>19</v>
      </c>
      <c r="EZ61" s="108">
        <f t="shared" si="2559"/>
        <v>20</v>
      </c>
      <c r="FA61" s="108"/>
      <c r="FB61" s="108">
        <f t="shared" ref="FB61" si="2560">COUNTIF($DK61:$ED61,FB$18)</f>
        <v>0</v>
      </c>
      <c r="FC61" s="108">
        <f t="shared" si="934"/>
        <v>0</v>
      </c>
      <c r="FD61" s="108">
        <f t="shared" si="934"/>
        <v>0</v>
      </c>
      <c r="FE61" s="108">
        <f t="shared" si="934"/>
        <v>0</v>
      </c>
      <c r="FF61" s="108">
        <f t="shared" si="934"/>
        <v>0</v>
      </c>
      <c r="FG61" s="108">
        <f t="shared" si="934"/>
        <v>0</v>
      </c>
      <c r="FH61" s="108"/>
      <c r="FI61" s="108" t="str">
        <f t="shared" ref="FI61" si="2561">IF(AND($F61="Hybrid - Thrust + 2 connections",FI62=0,LEFT($J61,1)="C",LEFT($K61,1)="C",LEFT($L61,1)="C"),"X","")</f>
        <v/>
      </c>
      <c r="FJ61" s="108"/>
      <c r="FL61" s="120" t="e">
        <f>IF(OR(LEFT(#REF!,2)="PL",LEFT(#REF!,2)="PL",LEFT(#REF!,2)="PL",LEFT(#REF!,2)="PL",LEFT(#REF!,2)="PL"),IF($BS$17-BR61&gt;$FL$17,"X",""),"")</f>
        <v>#REF!</v>
      </c>
      <c r="FM61" s="120"/>
      <c r="FN61" s="111" t="str">
        <f>IF(E62=3,_xlfn.NUMBERVALUE(LEFT(J61,1)),"")</f>
        <v/>
      </c>
    </row>
    <row r="62" spans="1:170" x14ac:dyDescent="0.3">
      <c r="A62" s="40"/>
      <c r="B62" s="41"/>
      <c r="C62" s="41"/>
      <c r="D62" s="41"/>
      <c r="E62" s="21" t="str">
        <f t="shared" ref="E62" si="2562">IF(F61="Acrobatic - Pair","PA",IF(F61="Acrobatic Airborn","A",IF(F61="Acrobatic Balance","B",IF(F61="Acrobatic Combined","C",IF(F61="Acrobatic Platform","P",IF(F61="Technical Required Element",3,IF(LEFT(F61,4)="Hybr","H","")))))))</f>
        <v/>
      </c>
      <c r="F62" s="21" t="str">
        <f t="shared" ref="F62" si="2563">IF(AND(F61="Hybrid - Thrust + 2 connections",BU61="X"),"Hybrid - Thrust",IF(OR(E62="A",E62="B",E62="C",E62="P"),"Acrobatic",""))</f>
        <v/>
      </c>
      <c r="G62" s="43"/>
      <c r="H62" s="222" t="str">
        <f t="shared" ref="H62" si="2564">IF(E62="PA",IF(OR(LEFT(J61,1)="L",LEFT(J61,1)="S"),"A-Pair-Lift",IF(OR(LEFT(J61,1)="W",LEFT(J61,1)="T"),"A-Pair-Throw",IF(LEFT(J61,1)="J","A-Pair-Jump","A-Pair"))),IF(OR(E62="A",E62="B",E62="C",E62="P"),CONCATENATE("Acro-",E62),""))</f>
        <v/>
      </c>
      <c r="I62" s="216" t="e">
        <f t="shared" ref="I62" si="2565">IF(OR(F61="Hybrid - min 4 swimmers (no DD)",LEFT(F61,5)="Trans"),0,INDEX($BV$3:$BV$9,MATCH(E62,$BU$3:$BU$9,0)))</f>
        <v>#N/A</v>
      </c>
      <c r="J62" s="210">
        <f t="shared" ref="J62" ca="1" si="2566">IFERROR(IF($H61="No DD",0,IF(OR(ISBLANK(J61),J61="N/A"),0,INDEX(INDIRECT(AV62),MATCH(J61,INDIRECT(AV61),0)))),0)</f>
        <v>0</v>
      </c>
      <c r="K62" s="210">
        <f t="shared" ref="K62" ca="1" si="2567">IFERROR(IF($H61="No DD",0,IF(OR(ISBLANK(K61),K61="N/A"),0,INDEX(INDIRECT(AW62),MATCH(K61,INDIRECT(AW61),0)))),0)</f>
        <v>0</v>
      </c>
      <c r="L62" s="210">
        <f t="shared" ref="L62" ca="1" si="2568">IFERROR(IF($H61="No DD",0,IF(OR(ISBLANK(L61),L61="N/A"),0,INDEX(INDIRECT(AX62),MATCH(L61,INDIRECT(AX61),0)))),0)</f>
        <v>0</v>
      </c>
      <c r="M62" s="210">
        <f t="shared" ref="M62" ca="1" si="2569">IFERROR(IF($H61="No DD",0,IF(OR(ISBLANK(M61),M61="N/A"),0,INDEX(INDIRECT(AY62),MATCH(M61,INDIRECT(AY61),0)))),0)</f>
        <v>0</v>
      </c>
      <c r="N62" s="210">
        <f t="shared" ref="N62" ca="1" si="2570">IFERROR(IF($H61="No DD",0,IF(OR(ISBLANK(N61),N61="N/A"),0,INDEX(INDIRECT(AZ62),MATCH(N61,INDIRECT(AZ61),0)))),0)</f>
        <v>0</v>
      </c>
      <c r="O62" s="210">
        <f t="shared" ref="O62" ca="1" si="2571">IFERROR(IF($H61="No DD",0,IF(OR(ISBLANK(O61),O61="N/A"),0,INDEX(INDIRECT(BA62),MATCH(O61,INDIRECT(BA61),0)))),0)</f>
        <v>0</v>
      </c>
      <c r="P62" s="210">
        <f t="shared" ref="P62" ca="1" si="2572">IFERROR(IF($H61="No DD",0,IF(OR(ISBLANK(P61),P61="N/A"),0,INDEX(INDIRECT(BB62),MATCH(P61,INDIRECT(BB61),0)))),0)</f>
        <v>0</v>
      </c>
      <c r="Q62" s="210">
        <f t="shared" ref="Q62" ca="1" si="2573">IFERROR(IF($H61="No DD",0,IF(OR(ISBLANK(Q61),Q61="N/A"),0,INDEX(INDIRECT(BC62),MATCH(Q61,INDIRECT(BC61),0)))),0)</f>
        <v>0</v>
      </c>
      <c r="R62" s="210">
        <f t="shared" ref="R62" ca="1" si="2574">IFERROR(IF($H61="No DD",0,IF(OR(ISBLANK(R61),R61="N/A"),0,INDEX(INDIRECT(BD62),MATCH(R61,INDIRECT(BD61),0)))),0)</f>
        <v>0</v>
      </c>
      <c r="S62" s="210">
        <f t="shared" ref="S62" ca="1" si="2575">IFERROR(IF($H61="No DD",0,IF(OR(ISBLANK(S61),S61="N/A"),0,INDEX(INDIRECT(BE62),MATCH(S61,INDIRECT(BE61),0)))),0)</f>
        <v>0</v>
      </c>
      <c r="T62" s="210">
        <f t="shared" ref="T62" ca="1" si="2576">IFERROR(IF($H61="No DD",0,IF(OR(ISBLANK(T61),T61="N/A"),0,INDEX(INDIRECT(BF62),MATCH(T61,INDIRECT(BF61),0)))),0)</f>
        <v>0</v>
      </c>
      <c r="U62" s="210">
        <f t="shared" ref="U62" ca="1" si="2577">IFERROR(IF($H61="No DD",0,IF(OR(ISBLANK(U61),U61="N/A"),0,INDEX(INDIRECT(BG62),MATCH(U61,INDIRECT(BG61),0)))),0)</f>
        <v>0</v>
      </c>
      <c r="V62" s="210">
        <f t="shared" ref="V62" ca="1" si="2578">IFERROR(IF($H61="No DD",0,IF(OR(ISBLANK(V61),V61="N/A"),0,INDEX(INDIRECT(BH62),MATCH(V61,INDIRECT(BH61),0)))),0)</f>
        <v>0</v>
      </c>
      <c r="W62" s="210">
        <f t="shared" ref="W62" ca="1" si="2579">IFERROR(IF($H61="No DD",0,IF(OR(ISBLANK(W61),W61="N/A"),0,INDEX(INDIRECT(BI62),MATCH(W61,INDIRECT(BI61),0)))),0)</f>
        <v>0</v>
      </c>
      <c r="X62" s="210">
        <f t="shared" ref="X62" ca="1" si="2580">IFERROR(IF($H61="No DD",0,IF(OR(ISBLANK(X61),X61="N/A"),0,INDEX(INDIRECT(BJ62),MATCH(X61,INDIRECT(BJ61),0)))),0)</f>
        <v>0</v>
      </c>
      <c r="Y62" s="210">
        <f t="shared" ref="Y62" ca="1" si="2581">IFERROR(IF($H61="No DD",0,IF(OR(ISBLANK(Y61),Y61="N/A"),0,INDEX(INDIRECT(BK62),MATCH(Y61,INDIRECT(BK61),0)))),0)</f>
        <v>0</v>
      </c>
      <c r="Z62" s="210">
        <f t="shared" ref="Z62" ca="1" si="2582">IFERROR(IF($H61="No DD",0,IF(OR(ISBLANK(Z61),Z61="N/A"),0,INDEX(INDIRECT(BL62),MATCH(Z61,INDIRECT(BL61),0)))),0)</f>
        <v>0</v>
      </c>
      <c r="AA62" s="210">
        <f t="shared" ref="AA62" ca="1" si="2583">IFERROR(IF($H61="No DD",0,IF(OR(ISBLANK(AA61),AA61="N/A"),0,INDEX(INDIRECT(BM62),MATCH(AA61,INDIRECT(BM61),0)))),0)</f>
        <v>0</v>
      </c>
      <c r="AB62" s="210">
        <f t="shared" ref="AB62" ca="1" si="2584">IFERROR(IF($H61="No DD",0,IF(OR(ISBLANK(AB61),AB61="N/A"),0,INDEX(INDIRECT(BN62),MATCH(AB61,INDIRECT(BN61),0)))),0)</f>
        <v>0</v>
      </c>
      <c r="AC62" s="210">
        <f t="shared" ref="AC62" ca="1" si="2585">IFERROR(IF($H61="No DD",0,IF(OR(ISBLANK(AC61),AC61="N/A"),0,INDEX(INDIRECT(BO62),MATCH(AC61,INDIRECT(BO61),0)))),0)</f>
        <v>0</v>
      </c>
      <c r="AD62" s="211" t="str">
        <f>IFERROR(IF(E62="H",INDEX(HybridBonus_Value,MATCH(AD61,HybridBonus_Code,0)),""),"")</f>
        <v/>
      </c>
      <c r="AE62" s="209" t="str">
        <f t="shared" ref="AE62" si="2586">IFERROR(IF(J61&lt;&gt;"",SUM(I62:AD62),""),"")</f>
        <v/>
      </c>
      <c r="AF62" s="76"/>
      <c r="AG62" s="76"/>
      <c r="AH62" s="121"/>
      <c r="AI62" s="121"/>
      <c r="AJ62" s="121"/>
      <c r="AK62" s="121"/>
      <c r="AL62" s="121"/>
      <c r="AM62" s="121"/>
      <c r="AN62" s="121"/>
      <c r="AO62" s="121"/>
      <c r="AP62" s="121"/>
      <c r="AQ62" s="121"/>
      <c r="AR62" s="121"/>
      <c r="AS62" s="121"/>
      <c r="AT62" s="110"/>
      <c r="AU62" s="121"/>
      <c r="AV62" s="111" t="str">
        <f t="shared" ref="AV62" si="2587">IF($E62="H","HybridDD_Value",IF($E62=3,"TreDD_Value",IF($E62="PA","AcroPair_Value",IF(LEFT($F61,4)="Acro",CONCATENATE(AV$16,$E62,"_Value"),""))))</f>
        <v/>
      </c>
      <c r="AW62" s="111" t="str">
        <f t="shared" ref="AW62:AX62" si="2588">IF($E62="H","HybridDD_Value",IF($E62=3,"",IF(LEFT($F61,4)="Acro",CONCATENATE(AW$16,$E62,"_Value"),IF($E62="PA","",""))))</f>
        <v/>
      </c>
      <c r="AX62" s="111" t="str">
        <f t="shared" si="2588"/>
        <v/>
      </c>
      <c r="AY62" s="111" t="str">
        <f t="shared" ref="AY62:BD62" si="2589">IF($E62="H","HybridDD_Value",IF($E62=3,"",IF(LEFT($F61,4)="Acro",CONCATENATE(AY$16,$E62,"_Value"),IF($E62="PA","",""))))</f>
        <v/>
      </c>
      <c r="AZ62" s="111" t="str">
        <f t="shared" si="2589"/>
        <v/>
      </c>
      <c r="BA62" s="111" t="str">
        <f t="shared" si="2589"/>
        <v/>
      </c>
      <c r="BB62" s="111" t="str">
        <f t="shared" si="2589"/>
        <v/>
      </c>
      <c r="BC62" s="111" t="str">
        <f t="shared" si="2589"/>
        <v/>
      </c>
      <c r="BD62" s="111" t="str">
        <f t="shared" si="2589"/>
        <v/>
      </c>
      <c r="BE62" s="110" t="str">
        <f t="shared" ref="BE62" si="2590">IF($E62="H","HybridDD_Value","Data!$BI$1:$BI$5")</f>
        <v>Data!$BI$1:$BI$5</v>
      </c>
      <c r="BF62" s="110" t="str">
        <f t="shared" si="2392"/>
        <v>Data!$BI$1:$BI$5</v>
      </c>
      <c r="BG62" s="110" t="str">
        <f t="shared" si="2392"/>
        <v>Data!$BI$1:$BI$5</v>
      </c>
      <c r="BH62" s="110" t="str">
        <f t="shared" si="2392"/>
        <v>Data!$BI$1:$BI$5</v>
      </c>
      <c r="BI62" s="110" t="str">
        <f t="shared" si="2392"/>
        <v>Data!$BI$1:$BI$5</v>
      </c>
      <c r="BJ62" s="110" t="str">
        <f t="shared" si="2392"/>
        <v>Data!$BI$1:$BI$5</v>
      </c>
      <c r="BK62" s="110" t="str">
        <f t="shared" si="2392"/>
        <v>Data!$BI$1:$BI$5</v>
      </c>
      <c r="BL62" s="110" t="str">
        <f t="shared" si="2392"/>
        <v>Data!$BI$1:$BI$5</v>
      </c>
      <c r="BM62" s="110" t="str">
        <f t="shared" si="2392"/>
        <v>Data!$BI$1:$BI$5</v>
      </c>
      <c r="BN62" s="110" t="str">
        <f t="shared" si="2392"/>
        <v>Data!$BI$1:$BI$5</v>
      </c>
      <c r="BO62" s="110" t="str">
        <f t="shared" si="2392"/>
        <v>Data!$BI$1:$BI$5</v>
      </c>
      <c r="BP62" s="121"/>
      <c r="BQ62" s="121"/>
      <c r="BR62" s="122" t="str">
        <f>IFERROR(IF(AND($BS$6="T",$BS$8="T",LEFT(F61,4)="Acro",AE62&gt;3),"X",IF($N$7="X",IF(AND(E62="C",AE62&gt;$CA$6),"X",IF(AND(E62="A",AE62&gt;$CA$4),"X",IF(AND(E62="B",AE62&gt;$CA$5),"X",IF(AND(E62="P",AE62&gt;$CA$7),"X","")))),"")),"")</f>
        <v/>
      </c>
      <c r="BS62" s="113"/>
      <c r="BU62" s="108"/>
      <c r="CA62" s="111"/>
      <c r="CB62" s="111"/>
      <c r="CC62" s="111"/>
      <c r="CG62" s="108" t="str">
        <f t="shared" si="1891"/>
        <v/>
      </c>
      <c r="CH62" s="108" t="str">
        <f t="shared" si="1892"/>
        <v/>
      </c>
      <c r="CI62" s="108" t="str">
        <f t="shared" si="1893"/>
        <v/>
      </c>
      <c r="CJ62" s="108" t="str">
        <f t="shared" si="1894"/>
        <v/>
      </c>
      <c r="CR62" s="108">
        <v>44</v>
      </c>
      <c r="DI62" s="108" t="str" cm="1">
        <f t="array" ref="DI62">IFERROR(INDEX(DK62:ED62,MATCH(TRUE,INDEX((DK62:ED62&lt;&gt;""),),0)),"")</f>
        <v/>
      </c>
      <c r="DK62" s="108" t="str">
        <f t="shared" ref="DK62" si="2591">IF(F61="Hybrid - Thrust + 2 connections",IF(COUNTIF($DK61:$ED61,DK61)&gt;1,DK61,""),IF(COUNTIF($DK61:$ED61,DK61)&gt;5,DK61,""))</f>
        <v/>
      </c>
      <c r="DL62" s="108" t="str">
        <f t="shared" ref="DL62" si="2592">IF(G61="Hybrid - Thrust + 2 connections",IF(COUNTIF($DK61:$ED61,DL61)&gt;1,DL61,""),IF(COUNTIF($DK61:$ED61,DL61)&gt;5,DL61,""))</f>
        <v/>
      </c>
      <c r="DM62" s="108" t="str">
        <f t="shared" ref="DM62" si="2593">IF(H61="Hybrid - Thrust + 2 connections",IF(COUNTIF($DK61:$ED61,DM61)&gt;1,DM61,""),IF(COUNTIF($DK61:$ED61,DM61)&gt;5,DM61,""))</f>
        <v/>
      </c>
      <c r="DN62" s="108" t="str">
        <f t="shared" ref="DN62" si="2594">IF(I61="Hybrid - Thrust + 2 connections",IF(COUNTIF($DK61:$ED61,DN61)&gt;1,DN61,""),IF(COUNTIF($DK61:$ED61,DN61)&gt;5,DN61,""))</f>
        <v/>
      </c>
      <c r="DO62" s="108" t="str">
        <f t="shared" ref="DO62" si="2595">IF(J61="Hybrid - Thrust + 2 connections",IF(COUNTIF($DK61:$ED61,DO61)&gt;1,DO61,""),IF(COUNTIF($DK61:$ED61,DO61)&gt;5,DO61,""))</f>
        <v/>
      </c>
      <c r="DP62" s="108" t="str">
        <f t="shared" ref="DP62" si="2596">IF(K61="Hybrid - Thrust + 2 connections",IF(COUNTIF($DK61:$ED61,DP61)&gt;1,DP61,""),IF(COUNTIF($DK61:$ED61,DP61)&gt;5,DP61,""))</f>
        <v/>
      </c>
      <c r="DQ62" s="108" t="str">
        <f t="shared" ref="DQ62" si="2597">IF(L61="Hybrid - Thrust + 2 connections",IF(COUNTIF($DK61:$ED61,DQ61)&gt;1,DQ61,""),IF(COUNTIF($DK61:$ED61,DQ61)&gt;5,DQ61,""))</f>
        <v/>
      </c>
      <c r="DR62" s="108" t="str">
        <f t="shared" ref="DR62" si="2598">IF(M61="Hybrid - Thrust + 2 connections",IF(COUNTIF($DK61:$ED61,DR61)&gt;1,DR61,""),IF(COUNTIF($DK61:$ED61,DR61)&gt;5,DR61,""))</f>
        <v/>
      </c>
      <c r="DS62" s="108" t="str">
        <f t="shared" ref="DS62" si="2599">IF(N61="Hybrid - Thrust + 2 connections",IF(COUNTIF($DK61:$ED61,DS61)&gt;1,DS61,""),IF(COUNTIF($DK61:$ED61,DS61)&gt;5,DS61,""))</f>
        <v/>
      </c>
      <c r="DT62" s="108" t="str">
        <f t="shared" ref="DT62" si="2600">IF(O61="Hybrid - Thrust + 2 connections",IF(COUNTIF($DK61:$ED61,DT61)&gt;1,DT61,""),IF(COUNTIF($DK61:$ED61,DT61)&gt;5,DT61,""))</f>
        <v/>
      </c>
      <c r="DU62" s="108" t="str">
        <f t="shared" ref="DU62" si="2601">IF(P61="Hybrid - Thrust + 2 connections",IF(COUNTIF($DK61:$ED61,DU61)&gt;1,DU61,""),IF(COUNTIF($DK61:$ED61,DU61)&gt;5,DU61,""))</f>
        <v/>
      </c>
      <c r="DV62" s="108" t="str">
        <f t="shared" ref="DV62" si="2602">IF(Q61="Hybrid - Thrust + 2 connections",IF(COUNTIF($DK61:$ED61,DV61)&gt;1,DV61,""),IF(COUNTIF($DK61:$ED61,DV61)&gt;5,DV61,""))</f>
        <v/>
      </c>
      <c r="DW62" s="108" t="str">
        <f t="shared" ref="DW62" si="2603">IF(R61="Hybrid - Thrust + 2 connections",IF(COUNTIF($DK61:$ED61,DW61)&gt;1,DW61,""),IF(COUNTIF($DK61:$ED61,DW61)&gt;5,DW61,""))</f>
        <v/>
      </c>
      <c r="DX62" s="108" t="str">
        <f t="shared" ref="DX62" si="2604">IF(S61="Hybrid - Thrust + 2 connections",IF(COUNTIF($DK61:$ED61,DX61)&gt;1,DX61,""),IF(COUNTIF($DK61:$ED61,DX61)&gt;5,DX61,""))</f>
        <v/>
      </c>
      <c r="DY62" s="108" t="str">
        <f t="shared" ref="DY62" si="2605">IF(T61="Hybrid - Thrust + 2 connections",IF(COUNTIF($DK61:$ED61,DY61)&gt;1,DY61,""),IF(COUNTIF($DK61:$ED61,DY61)&gt;5,DY61,""))</f>
        <v/>
      </c>
      <c r="DZ62" s="108" t="str">
        <f t="shared" ref="DZ62" si="2606">IF(U61="Hybrid - Thrust + 2 connections",IF(COUNTIF($DK61:$ED61,DZ61)&gt;1,DZ61,""),IF(COUNTIF($DK61:$ED61,DZ61)&gt;5,DZ61,""))</f>
        <v/>
      </c>
      <c r="EA62" s="108" t="str">
        <f t="shared" ref="EA62" si="2607">IF(V61="Hybrid - Thrust + 2 connections",IF(COUNTIF($DK61:$ED61,EA61)&gt;1,EA61,""),IF(COUNTIF($DK61:$ED61,EA61)&gt;5,EA61,""))</f>
        <v/>
      </c>
      <c r="EB62" s="108" t="str">
        <f t="shared" ref="EB62" si="2608">IF(W61="Hybrid - Thrust + 2 connections",IF(COUNTIF($DK61:$ED61,EB61)&gt;1,EB61,""),IF(COUNTIF($DK61:$ED61,EB61)&gt;5,EB61,""))</f>
        <v/>
      </c>
      <c r="EC62" s="108" t="str">
        <f t="shared" ref="EC62" si="2609">IF(X61="Hybrid - Thrust + 2 connections",IF(COUNTIF($DK61:$ED61,EC61)&gt;1,EC61,""),IF(COUNTIF($DK61:$ED61,EC61)&gt;5,EC61,""))</f>
        <v/>
      </c>
      <c r="ED62" s="108" t="str">
        <f t="shared" ref="ED62" si="2610">IF(Y61="Hybrid - Thrust + 2 connections",IF(COUNTIF($DK61:$ED61,ED61)&gt;1,ED61,""),IF(COUNTIF($DK61:$ED61,ED61)&gt;5,ED61,""))</f>
        <v/>
      </c>
      <c r="EE62" s="108"/>
      <c r="EF62" s="108" t="str" cm="1">
        <f t="array" ref="EF62">IFERROR(INDEX(EG62:EZ62,MATCH(TRUE,INDEX((EG62:EZ62&lt;&gt;""),),0)),"")</f>
        <v/>
      </c>
      <c r="EG62" s="108" t="str">
        <f t="shared" ref="EG62" si="2611">IF(COUNTIF($EG61:$EZ61,EG61)&gt;3,EG61,"")</f>
        <v/>
      </c>
      <c r="EH62" s="108" t="str">
        <f t="shared" ref="EH62" si="2612">IF(COUNTIF($EG61:$EZ61,EH61)&gt;3,EH61,"")</f>
        <v/>
      </c>
      <c r="EI62" s="108" t="str">
        <f t="shared" ref="EI62" si="2613">IF(COUNTIF($EG61:$EZ61,EI61)&gt;3,EI61,"")</f>
        <v/>
      </c>
      <c r="EJ62" s="108" t="str">
        <f t="shared" ref="EJ62" si="2614">IF(COUNTIF($EG61:$EZ61,EJ61)&gt;3,EJ61,"")</f>
        <v/>
      </c>
      <c r="EK62" s="108" t="str">
        <f t="shared" ref="EK62" si="2615">IF(COUNTIF($EG61:$EZ61,EK61)&gt;3,EK61,"")</f>
        <v/>
      </c>
      <c r="EL62" s="108" t="str">
        <f t="shared" ref="EL62" si="2616">IF(COUNTIF($EG61:$EZ61,EL61)&gt;3,EL61,"")</f>
        <v/>
      </c>
      <c r="EM62" s="108" t="str">
        <f t="shared" ref="EM62" si="2617">IF(COUNTIF($EG61:$EZ61,EM61)&gt;3,EM61,"")</f>
        <v/>
      </c>
      <c r="EN62" s="108" t="str">
        <f t="shared" ref="EN62" si="2618">IF(COUNTIF($EG61:$EZ61,EN61)&gt;3,EN61,"")</f>
        <v/>
      </c>
      <c r="EO62" s="108" t="str">
        <f t="shared" ref="EO62" si="2619">IF(COUNTIF($EG61:$EZ61,EO61)&gt;3,EO61,"")</f>
        <v/>
      </c>
      <c r="EP62" s="108" t="str">
        <f t="shared" ref="EP62" si="2620">IF(COUNTIF($EG61:$EZ61,EP61)&gt;3,EP61,"")</f>
        <v/>
      </c>
      <c r="EQ62" s="108" t="str">
        <f t="shared" ref="EQ62" si="2621">IF(COUNTIF($EG61:$EZ61,EQ61)&gt;3,EQ61,"")</f>
        <v/>
      </c>
      <c r="ER62" s="108" t="str">
        <f t="shared" ref="ER62" si="2622">IF(COUNTIF($EG61:$EZ61,ER61)&gt;3,ER61,"")</f>
        <v/>
      </c>
      <c r="ES62" s="108" t="str">
        <f t="shared" ref="ES62" si="2623">IF(COUNTIF($EG61:$EZ61,ES61)&gt;3,ES61,"")</f>
        <v/>
      </c>
      <c r="ET62" s="108" t="str">
        <f t="shared" ref="ET62" si="2624">IF(COUNTIF($EG61:$EZ61,ET61)&gt;3,ET61,"")</f>
        <v/>
      </c>
      <c r="EU62" s="108" t="str">
        <f t="shared" ref="EU62" si="2625">IF(COUNTIF($EG61:$EZ61,EU61)&gt;3,EU61,"")</f>
        <v/>
      </c>
      <c r="EV62" s="108" t="str">
        <f t="shared" ref="EV62" si="2626">IF(COUNTIF($EG61:$EZ61,EV61)&gt;3,EV61,"")</f>
        <v/>
      </c>
      <c r="EW62" s="108" t="str">
        <f t="shared" ref="EW62" si="2627">IF(COUNTIF($EG61:$EZ61,EW61)&gt;3,EW61,"")</f>
        <v/>
      </c>
      <c r="EX62" s="108" t="str">
        <f t="shared" ref="EX62" si="2628">IF(COUNTIF($EG61:$EZ61,EX61)&gt;3,EX61,"")</f>
        <v/>
      </c>
      <c r="EY62" s="108" t="str">
        <f t="shared" ref="EY62" si="2629">IF(COUNTIF($EG61:$EZ61,EY61)&gt;3,EY61,"")</f>
        <v/>
      </c>
      <c r="EZ62" s="108" t="str">
        <f t="shared" ref="EZ62" si="2630">IF(COUNTIF($EG61:$EZ61,EZ61)&gt;3,EZ61,"")</f>
        <v/>
      </c>
      <c r="FA62" s="108"/>
      <c r="FB62" s="108"/>
      <c r="FC62" s="108"/>
      <c r="FD62" s="108"/>
      <c r="FE62" s="108"/>
      <c r="FF62" s="108"/>
      <c r="FG62" s="108"/>
      <c r="FH62" s="108"/>
      <c r="FI62" s="108" t="str">
        <f t="shared" ref="FI62" si="2631">IF($F61="Hybrid - Thrust + 2 connections",COUNTBLANK(J61:L61),"")</f>
        <v/>
      </c>
      <c r="FJ62" s="108"/>
      <c r="FN62" s="111"/>
    </row>
    <row r="63" spans="1:170" x14ac:dyDescent="0.3">
      <c r="A63" s="40" t="str">
        <f>IF(AND(E61="",A61&lt;&gt;""),IF(BS61=$BS$18,"",IF(C61&lt;&gt;"",IF(D61=59,MINUTE(BS61)+1,MINUTE(BS61)),"")),"")</f>
        <v/>
      </c>
      <c r="B63" s="41" t="str">
        <f>IF(AND(E61="",B61&lt;&gt;""),IF(BS61=$BS$18,"",IF(C61&lt;&gt;"",IF(D61=59,0,SECOND(BS61)+1),"")),"")</f>
        <v/>
      </c>
      <c r="C63" s="51"/>
      <c r="D63" s="51"/>
      <c r="E63" s="9"/>
      <c r="F63" s="52"/>
      <c r="G63" s="43" t="str">
        <f>IF(F63&lt;&gt;"",IF(OR(F63="Transition",F63="Transition - Surface Connection"),0,MAX($G$19:G62)+1),"")</f>
        <v/>
      </c>
      <c r="H63" s="57" t="str">
        <f t="shared" ref="H63" si="2632">IFERROR(IF(E64="3","",IF(OR(F63="Hybrid - min 4 swimmers (no DD)",LEFT(F63,5)="Trans"),"No DD",CONCATENATE("BM = ",I64))),"")</f>
        <v/>
      </c>
      <c r="I63" s="58"/>
      <c r="J63" s="130"/>
      <c r="K63" s="137"/>
      <c r="L63" s="137"/>
      <c r="M63" s="137"/>
      <c r="N63" s="137"/>
      <c r="O63" s="137"/>
      <c r="P63" s="137"/>
      <c r="Q63" s="137"/>
      <c r="R63" s="137"/>
      <c r="S63" s="137"/>
      <c r="T63" s="137"/>
      <c r="U63" s="137"/>
      <c r="V63" s="137"/>
      <c r="W63" s="137"/>
      <c r="X63" s="137"/>
      <c r="Y63" s="137"/>
      <c r="Z63" s="137"/>
      <c r="AA63" s="137"/>
      <c r="AB63" s="137"/>
      <c r="AC63" s="137"/>
      <c r="AD63" s="191"/>
      <c r="AE63" s="44"/>
      <c r="AF63" s="75"/>
      <c r="AG63" s="75"/>
      <c r="AH63" s="110"/>
      <c r="AI63" s="110"/>
      <c r="AJ63" s="110"/>
      <c r="AK63" s="110"/>
      <c r="AL63" s="110"/>
      <c r="AM63" s="110"/>
      <c r="AN63" s="110"/>
      <c r="AO63" s="110"/>
      <c r="AP63" s="110"/>
      <c r="AQ63" s="110"/>
      <c r="AR63" s="110"/>
      <c r="AS63" s="110"/>
      <c r="AT63" s="110" t="str">
        <f>IFERROR(IF(F63&lt;&gt;"",INDEX(Parts_Active,MATCH(F63,Parts_Active,0)),""),"No")</f>
        <v/>
      </c>
      <c r="AU63" s="110"/>
      <c r="AV63" s="110" t="str">
        <f t="shared" ref="AV63" si="2633">IF($E64="H",IF($F63="Hybrid - Thrust + 2 connections","Hybrid_Mix_Req","HybridDD_Code"),IF($E64=3,"TreDD_Code",IF($E64="PA","AcroPair_Code",IF(LEFT($F63,4)="Acro",CONCATENATE(AV$16,$E64,"_Code"),"Data!$BI$1:$BI$5"))))</f>
        <v>Data!$BI$1:$BI$5</v>
      </c>
      <c r="AW63" s="110" t="str">
        <f t="shared" ref="AW63" si="2634">IF($E64="H",IF($F63="Hybrid - Thrust + 2 connections","Hybrid_Mix_Req","HybridDD_Code"),IF($E64=3,"TreDD_Code",IF($E64="PA","AcroPair_Code",IF(LEFT($F63,4)="Acro",CONCATENATE(AW$16,$E64,"_Code"),"Data!$BI$1:$BI$5"))))</f>
        <v>Data!$BI$1:$BI$5</v>
      </c>
      <c r="AX63" s="110" t="str">
        <f t="shared" ref="AX63" si="2635">IF($E64="H",IF($F63="Hybrid - Thrust + 2 connections","Hybrid_Mix_Req","HybridDD_Code"),IF($E64=3,"TreDD_Code",IF($E64="PA","AcroPair_Code",IF(LEFT($F63,4)="Acro",CONCATENATE(AX$16,$E64,"_Code"),"Data!$BI$1:$BI$5"))))</f>
        <v>Data!$BI$1:$BI$5</v>
      </c>
      <c r="AY63" s="110" t="str">
        <f t="shared" ref="AY63" si="2636">IF($E64="H",IF($F63="Hybrid - Thrust + 2 connections","Data!$BI$1:$BI$5","HybridDD_Code"),IF($E64=3,"Data!$BI$1:$BI$5",IF(LEFT($F63,4)="Acro",CONCATENATE(AY$16,$E64,"_Code"),IF($E64="PA","","Data!$BI$1:$BI$5"))))</f>
        <v>Data!$BI$1:$BI$5</v>
      </c>
      <c r="AZ63" s="110" t="str">
        <f t="shared" ref="AZ63" si="2637">IF($E64="H",IF($F63="Hybrid - Thrust + 2 connections","Data!$BI$1:$BI$5","HybridDD_Code"),IF($E64=3,"Data!$BI$1:$BI$5",IF(LEFT($F63,4)="Acro",CONCATENATE(AZ$16,$E64,"_Code"),IF($E64="PA","","Data!$BI$1:$BI$5"))))</f>
        <v>Data!$BI$1:$BI$5</v>
      </c>
      <c r="BA63" s="110" t="str">
        <f t="shared" ref="BA63" si="2638">IF($E64="H",IF($F63="Hybrid - Thrust + 2 connections","Data!$BI$1:$BI$5","HybridDD_Code"),IF($E64=3,"Data!$BI$1:$BI$5",IF(LEFT($F63,4)="Acro",CONCATENATE(BA$16,$E64,"_Code"),IF($E64="PA","","Data!$BI$1:$BI$5"))))</f>
        <v>Data!$BI$1:$BI$5</v>
      </c>
      <c r="BB63" s="110" t="str">
        <f t="shared" ref="BB63" si="2639">IF($E64="H",IF($F63="Hybrid - Thrust + 2 connections","Data!$BI$1:$BI$5","HybridDD_Code"),IF($E64=3,"Data!$BI$1:$BI$5",IF(LEFT($F63,4)="Acro",CONCATENATE(BB$16,$E64,"_Code"),IF($E64="PA","","Data!$BI$1:$BI$5"))))</f>
        <v>Data!$BI$1:$BI$5</v>
      </c>
      <c r="BC63" s="110" t="str">
        <f t="shared" ref="BC63" si="2640">IF($E64="H",IF($F63="Hybrid - Thrust + 2 connections","Data!$BI$1:$BI$5","HybridDD_Code"),IF($E64=3,"Data!$BI$1:$BI$5",IF(LEFT($F63,4)="Acro",CONCATENATE(BC$16,$E64,"_Code"),IF($E64="PA","","Data!$BI$1:$BI$5"))))</f>
        <v>Data!$BI$1:$BI$5</v>
      </c>
      <c r="BD63" s="110" t="str">
        <f t="shared" ref="BD63" si="2641">IF($E64="H",IF($F63="Hybrid - Thrust + 2 connections","Data!$BI$1:$BI$5","HybridDD_Code"),IF($E64=3,"Data!$BI$1:$BI$5",IF(LEFT($F63,4)="Acro",CONCATENATE(BD$16,$E64,"_Code"),IF($E64="PA","","Data!$BI$1:$BI$5"))))</f>
        <v>Data!$BI$1:$BI$5</v>
      </c>
      <c r="BE63" s="110" t="str">
        <f t="shared" ref="BE63" si="2642">IF($E64="H",IF($F63="Hybrid - Thrust + 2 connections","Data!$BI$1:$BI$5","HybridDD_Code"),"Data!$BI$1:$BI$5")</f>
        <v>Data!$BI$1:$BI$5</v>
      </c>
      <c r="BF63" s="110" t="str">
        <f t="shared" si="2392"/>
        <v>Data!$BI$1:$BI$5</v>
      </c>
      <c r="BG63" s="110" t="str">
        <f t="shared" si="2392"/>
        <v>Data!$BI$1:$BI$5</v>
      </c>
      <c r="BH63" s="110" t="str">
        <f t="shared" si="2392"/>
        <v>Data!$BI$1:$BI$5</v>
      </c>
      <c r="BI63" s="110" t="str">
        <f t="shared" si="2392"/>
        <v>Data!$BI$1:$BI$5</v>
      </c>
      <c r="BJ63" s="110" t="str">
        <f t="shared" si="2392"/>
        <v>Data!$BI$1:$BI$5</v>
      </c>
      <c r="BK63" s="110" t="str">
        <f t="shared" si="2392"/>
        <v>Data!$BI$1:$BI$5</v>
      </c>
      <c r="BL63" s="110" t="str">
        <f t="shared" si="2392"/>
        <v>Data!$BI$1:$BI$5</v>
      </c>
      <c r="BM63" s="110" t="str">
        <f t="shared" si="2392"/>
        <v>Data!$BI$1:$BI$5</v>
      </c>
      <c r="BN63" s="110" t="str">
        <f t="shared" si="2392"/>
        <v>Data!$BI$1:$BI$5</v>
      </c>
      <c r="BO63" s="110" t="str">
        <f t="shared" si="2392"/>
        <v>Data!$BI$1:$BI$5</v>
      </c>
      <c r="BP63" s="110"/>
      <c r="BQ63" s="110"/>
      <c r="BR63" s="113" t="str">
        <f t="shared" ref="BR63" si="2643">IFERROR(TIME(0,A63,B63),"")</f>
        <v/>
      </c>
      <c r="BS63" s="114">
        <f>IFERROR(TIME(0,C63,D63),"")</f>
        <v>0</v>
      </c>
      <c r="BT63" s="114" t="str">
        <f t="shared" ref="BT63" si="2644">IF(BS63&gt;$D$12,"X","")</f>
        <v/>
      </c>
      <c r="BU63" s="108" t="str">
        <f>IF(AND(F63="Hybrid - Thrust + 2 connections",OR(LEFT(J63,1)="T",LEFT(K63,1)="T",LEFT(L63,1)="T",LEFT(NG63,1)="T",LEFT(M63,1)="T",LEFT(N63,1)="T",LEFT(O63,1)="T",LEFT(P63,1)="T",LEFT(Q63,1)="T",LEFT(R63,1)="T",LEFT(S63,1)="T",LEFT(T63,1)="T",LEFT(U63,1)="T",LEFT(V63,1)="T",LEFT(W63,1)="T",LEFT(X63,1)="T",LEFT(AA63,1)="T",LEFT(AB63,1)="T",LEFT(AC63,1)="T")),IF(OR(LEN(J63)=2,LEN(K63)=2,LEN(L63)=2,LEN(M63)=2,LEN(N63)=2,LEN(O63)=2,LEN(P63)=2,LEN(Q63)=2,LEN(R63)=2,LEN(S63)=2,LEN(T63)=2,LEN(U63)=2,LEN(V63)=2,LEN(W63)=2,LEN(X63)=2,LEN(Y63)=2,LEN(Z63)=2,LEN(AA63)=2,LEN(AB63)=2,LEN(AC63)=2),"X",""),"")</f>
        <v/>
      </c>
      <c r="BW63" s="108" t="str">
        <f>IF(LEFT(F63,4)="Acro",IF(AND(N63&lt;&gt;"",M63=RIGHT(N63,2)),"X","OK"),"")</f>
        <v/>
      </c>
      <c r="BX63" s="110" t="str">
        <f t="shared" ref="BX63:CE63" si="2645">IFERROR(IF(AND(LEFT($F63,4)="Acro",INDEX(Requ_App,MATCH(AV63,Requ_Code,0))="No"),"X",""),"")</f>
        <v/>
      </c>
      <c r="BY63" s="110" t="str">
        <f t="shared" si="2645"/>
        <v/>
      </c>
      <c r="BZ63" s="110" t="str">
        <f t="shared" si="2645"/>
        <v/>
      </c>
      <c r="CA63" s="110" t="str">
        <f t="shared" si="2645"/>
        <v/>
      </c>
      <c r="CB63" s="110" t="str">
        <f t="shared" si="2645"/>
        <v/>
      </c>
      <c r="CC63" s="110" t="str">
        <f t="shared" si="2645"/>
        <v/>
      </c>
      <c r="CD63" s="110" t="str">
        <f t="shared" si="2645"/>
        <v/>
      </c>
      <c r="CE63" s="110" t="str">
        <f t="shared" si="2645"/>
        <v/>
      </c>
      <c r="CF63" s="110" t="str">
        <f>IFERROR(IF(AND(LEFT($F63,4)="Acro",INDEX(Requ_App,MATCH(BC63,Requ_Code,0))="No"),"X",""),"")</f>
        <v/>
      </c>
      <c r="CG63" s="108" t="str">
        <f t="shared" si="1891"/>
        <v/>
      </c>
      <c r="CH63" s="108" t="str">
        <f t="shared" si="1892"/>
        <v/>
      </c>
      <c r="CI63" s="108" t="str">
        <f t="shared" si="1893"/>
        <v/>
      </c>
      <c r="CJ63" s="108" t="str">
        <f t="shared" si="1894"/>
        <v/>
      </c>
      <c r="CN63" s="108">
        <f t="shared" ref="CN63" si="2646">IF(AND(E64="A",OR(Q63="Grip",Q63="Conn",Q63="Catch")),"A1",IF(AND(E64="A",OR(Q63="Hula",Q63="RetSq",Q63="RetPa")),"A2",IF(AND(E64="B",OR(Q63="Twirl",Q63="RotF")),"B1",IF(AND(E64="B",OR(Q63="Moon",Q63="Mov")),"B2",IF(AND(E64="B",Q63="Hold"),"B3",IF(AND(E64="P",OR(Q63="Porp",Q63="Spitch")),"P1",IF(AND(E64="P",OR(Q63="Dive",Q63="Ps1",Q63="Ps1t0.5",Q63="Ps1op",Q63="Ps1t0,5o",Q63="Ps1t1",Q63="CH+")),"P2",IF(AND(E64="P",OR(Q63="Spider",Q63="Climb")),"P3",IF(AND(E64="P",OR(Q63="Fall",Q63="FTurn")),"P4",IF(AND(E64="C",OR(Q63="Jump",Q63="Jump&gt;",Q63="On1Foot",Q63="1F&gt;1F")),"C1",IF(AND(E64="C",OR(Q63="Run",Q63="BRun")),"C2",1)))))))))))</f>
        <v>1</v>
      </c>
      <c r="CO63" s="108">
        <f t="shared" ref="CO63" si="2647">IF(AND(E64="A",OR(R63="Grip",R63="Conn",R63="Catch")),"A1",IF(AND(E64="A",OR(R63="Hula",R63="RetSq",R63="RetPa")),"A2",IF(AND(E64="B",OR(R63="Twirl",R63="RotF")),"B1",IF(AND(E64="B",OR(R63="Moon",R63="Mov")),"B3",IF(AND(E64="B",R63="Hold"),"B2",IF(AND(E64="P",OR(R63="Porp",R63="Spitch")),"P1",IF(AND(E64="P",OR(R63="Dive",R63="Ps1",R63="Ps1t0.5",R63="Ps1op",R63="Ps1t0,5o",R63="Ps1t1",R63="CH+")),"P2",IF(AND(E64="P",OR(R63="Spider",R63="Climb")),"P3",IF(AND(E64="P",OR(R63="Fall",R63="FTurn")),"P4",IF(AND(E64="C",OR(R63="Jump",R63="Jump&gt;",R63="On1Foot",R63="1F&gt;1F")),"C1",IF(AND(E64="C",OR(R63="Run",R63="BRun")),"C2",2)))))))))))</f>
        <v>2</v>
      </c>
      <c r="CP63" s="108" t="str">
        <f t="shared" ref="CP63" si="2648">IF(AND(LEFT(F63,4)="Acro",Q63&lt;&gt;"",OR(Q63=R63,CN63=CO63)),IF(R63="C-Roll","","X"),IF(OR(AND(E64="A",Q63="Catch",R63&lt;&gt;"Dbl"),AND(E64="A",R63="Catch",Q63&lt;&gt;"Dbl")),"X",""))</f>
        <v/>
      </c>
      <c r="CQ63" s="108" t="str">
        <f t="shared" ref="CQ63" si="2649">IF(E64="PA",J63,"")</f>
        <v/>
      </c>
      <c r="CR63" s="108">
        <v>45</v>
      </c>
      <c r="CT63" s="108" t="str">
        <f t="shared" ref="CT63" si="2650">IF(AND($E64="A",COUNTIF($DC$19:$DD$68,DC63)&gt;1),DC63,"")</f>
        <v/>
      </c>
      <c r="CU63" s="108" t="str">
        <f t="shared" ref="CU63" si="2651">IF(AND($E64="A",COUNTIF($DC$19:$DD$68,DD63)&gt;1),DD63,"")</f>
        <v/>
      </c>
      <c r="CV63" s="108" t="str">
        <f t="shared" ref="CV63" ca="1" si="2652">IF(AND($E64="B",COUNTIF($J$19:$J$68,J63)&gt;1),J63,"")</f>
        <v/>
      </c>
      <c r="CW63" s="108" t="str">
        <f t="shared" ref="CW63" ca="1" si="2653">IF(AND($E64="B",COUNTIF($K$19:$K$68,K63)&gt;1),K63,"")</f>
        <v/>
      </c>
      <c r="CX63" s="108" t="str">
        <f t="shared" ref="CX63" ca="1" si="2654">IF(AND($E64="C",COUNTIF($J$19:$J$68,J63)&gt;1),J63,"")</f>
        <v/>
      </c>
      <c r="CY63" s="108" t="str">
        <f t="shared" ref="CY63" ca="1" si="2655">IF(AND($E64="P",COUNTIF($J$19:$J$68,J63)&gt;1),J63,"")</f>
        <v/>
      </c>
      <c r="CZ63" s="108" t="str">
        <f t="shared" ref="CZ63" ca="1" si="2656">IF(AND($E64="P",COUNTIF($K$19:$K$68,K63)&gt;1),K63,"")</f>
        <v/>
      </c>
      <c r="DA63" s="108" t="str">
        <f t="shared" ref="DA63" si="2657">IF(AND($E64="P",COUNTIF($DC$19:$DD$68,DC63)&gt;1),DC63,"")</f>
        <v/>
      </c>
      <c r="DB63" s="108" t="str">
        <f t="shared" ref="DB63" si="2658">IF(AND($E64="P",COUNTIF($DC$19:$DD$68,DD63)&gt;1),DD63,"")</f>
        <v/>
      </c>
      <c r="DC63" s="108" t="str">
        <f t="shared" ref="DC63" si="2659">IFERROR(IF(OR(E64="A",E64="P"),M63,""),"")</f>
        <v/>
      </c>
      <c r="DD63" s="108" t="str">
        <f t="shared" ref="DD63" si="2660">IFERROR(IF(OR(E64="A",E64="P"),RIGHT(N63,2),""),"")</f>
        <v/>
      </c>
      <c r="DF63" s="108" t="str">
        <f t="shared" ref="DF63" si="2661">IF(AND($F$8="Open Team Acrobatic",LEFT(F63,4)="Acro"),E64,"")</f>
        <v/>
      </c>
      <c r="DG63" s="108" t="str">
        <f t="shared" ref="DG63" si="2662">IFERROR(IF(HLOOKUP(DF63,$DD$12:$DG$13,2,FALSE)&gt;2,"X",""),"")</f>
        <v/>
      </c>
      <c r="DI63" s="108" t="str">
        <f t="shared" ref="DI63" si="2663">IF(OR(AND(F63="Hybrid - Thrust + 2 connections",DI64="T"),AND(F63="Hybrid - Free",DI64&lt;&gt;"")),"X","")</f>
        <v/>
      </c>
      <c r="DK63" s="108">
        <f t="shared" ref="DK63" si="2664">IFERROR(IF(AND($E64="H",J63&lt;&gt;""),IF(OR(LEFT(J63,1)="T",LEFT(J63,1)="S",LEFT(J63,1)="A",LEFT(J63,1)="F",LEFT(J63,1)="C"),LEFT(J63,1),"R"),DK$18),"")</f>
        <v>1</v>
      </c>
      <c r="DL63" s="108">
        <f t="shared" ref="DL63" si="2665">IFERROR(IF(AND($E64="H",K63&lt;&gt;""),IF(OR(LEFT(K63,1)="T",LEFT(K63,1)="S",LEFT(K63,1)="A",LEFT(K63,1)="F",LEFT(K63,1)="C"),LEFT(K63,1),"R"),DL$18),"")</f>
        <v>2</v>
      </c>
      <c r="DM63" s="108">
        <f t="shared" ref="DM63" si="2666">IFERROR(IF(AND($E64="H",L63&lt;&gt;""),IF(OR(LEFT(L63,1)="T",LEFT(L63,1)="S",LEFT(L63,1)="A",LEFT(L63,1)="F",LEFT(L63,1)="C"),LEFT(L63,1),"R"),DM$18),"")</f>
        <v>3</v>
      </c>
      <c r="DN63" s="108">
        <f t="shared" ref="DN63" si="2667">IFERROR(IF(AND($E64="H",M63&lt;&gt;""),IF(OR(LEFT(M63,1)="T",LEFT(M63,1)="S",LEFT(M63,1)="A",LEFT(M63,1)="F",LEFT(M63,1)="C"),LEFT(M63,1),"R"),DN$18),"")</f>
        <v>4</v>
      </c>
      <c r="DO63" s="108">
        <f t="shared" ref="DO63" si="2668">IFERROR(IF(AND($E64="H",N63&lt;&gt;""),IF(OR(LEFT(N63,1)="T",LEFT(N63,1)="S",LEFT(N63,1)="A",LEFT(N63,1)="F",LEFT(N63,1)="C"),LEFT(N63,1),"R"),DO$18),"")</f>
        <v>5</v>
      </c>
      <c r="DP63" s="108">
        <f t="shared" ref="DP63" si="2669">IFERROR(IF(AND($E64="H",O63&lt;&gt;""),IF(OR(LEFT(O63,1)="T",LEFT(O63,1)="S",LEFT(O63,1)="A",LEFT(O63,1)="F",LEFT(O63,1)="C"),LEFT(O63,1),"R"),DP$18),"")</f>
        <v>6</v>
      </c>
      <c r="DQ63" s="108">
        <f t="shared" ref="DQ63" si="2670">IFERROR(IF(AND($E64="H",P63&lt;&gt;""),IF(OR(LEFT(P63,1)="T",LEFT(P63,1)="S",LEFT(P63,1)="A",LEFT(P63,1)="F",LEFT(P63,1)="C"),LEFT(P63,1),"R"),DQ$18),"")</f>
        <v>7</v>
      </c>
      <c r="DR63" s="108">
        <f t="shared" ref="DR63" si="2671">IFERROR(IF(AND($E64="H",Q63&lt;&gt;""),IF(OR(LEFT(Q63,1)="T",LEFT(Q63,1)="S",LEFT(Q63,1)="A",LEFT(Q63,1)="F",LEFT(Q63,1)="C"),LEFT(Q63,1),"R"),DR$18),"")</f>
        <v>8</v>
      </c>
      <c r="DS63" s="108">
        <f t="shared" ref="DS63" si="2672">IFERROR(IF(AND($E64="H",R63&lt;&gt;""),IF(OR(LEFT(R63,1)="T",LEFT(R63,1)="S",LEFT(R63,1)="A",LEFT(R63,1)="F",LEFT(R63,1)="C"),LEFT(R63,1),"R"),DS$18),"")</f>
        <v>9</v>
      </c>
      <c r="DT63" s="108">
        <f t="shared" ref="DT63" si="2673">IFERROR(IF(AND($E64="H",S63&lt;&gt;""),IF(OR(LEFT(S63,1)="T",LEFT(S63,1)="S",LEFT(S63,1)="A",LEFT(S63,1)="F",LEFT(S63,1)="C"),LEFT(S63,1),"R"),DT$18),"")</f>
        <v>10</v>
      </c>
      <c r="DU63" s="108">
        <f t="shared" ref="DU63" si="2674">IFERROR(IF(AND($E64="H",T63&lt;&gt;""),IF(OR(LEFT(T63,1)="T",LEFT(T63,1)="S",LEFT(T63,1)="A",LEFT(T63,1)="F",LEFT(T63,1)="C"),LEFT(T63,1),"R"),DU$18),"")</f>
        <v>11</v>
      </c>
      <c r="DV63" s="108">
        <f t="shared" ref="DV63" si="2675">IFERROR(IF(AND($E64="H",U63&lt;&gt;""),IF(OR(LEFT(U63,1)="T",LEFT(U63,1)="S",LEFT(U63,1)="A",LEFT(U63,1)="F",LEFT(U63,1)="C"),LEFT(U63,1),"R"),DV$18),"")</f>
        <v>12</v>
      </c>
      <c r="DW63" s="108">
        <f t="shared" ref="DW63" si="2676">IFERROR(IF(AND($E64="H",V63&lt;&gt;""),IF(OR(LEFT(V63,1)="T",LEFT(V63,1)="S",LEFT(V63,1)="A",LEFT(V63,1)="F",LEFT(V63,1)="C"),LEFT(V63,1),"R"),DW$18),"")</f>
        <v>13</v>
      </c>
      <c r="DX63" s="108">
        <f t="shared" ref="DX63" si="2677">IFERROR(IF(AND($E64="H",W63&lt;&gt;""),IF(OR(LEFT(W63,1)="T",LEFT(W63,1)="S",LEFT(W63,1)="A",LEFT(W63,1)="F",LEFT(W63,1)="C"),LEFT(W63,1),"R"),DX$18),"")</f>
        <v>14</v>
      </c>
      <c r="DY63" s="108">
        <f t="shared" ref="DY63" si="2678">IFERROR(IF(AND($E64="H",X63&lt;&gt;""),IF(OR(LEFT(X63,1)="T",LEFT(X63,1)="S",LEFT(X63,1)="A",LEFT(X63,1)="F",LEFT(X63,1)="C"),LEFT(X63,1),"R"),DY$18),"")</f>
        <v>15</v>
      </c>
      <c r="DZ63" s="108">
        <f t="shared" ref="DZ63" si="2679">IFERROR(IF(AND($E64="H",Y63&lt;&gt;""),IF(OR(LEFT(Y63,1)="T",LEFT(Y63,1)="S",LEFT(Y63,1)="A",LEFT(Y63,1)="F",LEFT(Y63,1)="C"),LEFT(Y63,1),"R"),DZ$18),"")</f>
        <v>16</v>
      </c>
      <c r="EA63" s="108">
        <f t="shared" ref="EA63" si="2680">IFERROR(IF(AND($E64="H",Z63&lt;&gt;""),IF(OR(LEFT(Z63,1)="T",LEFT(Z63,1)="S",LEFT(Z63,1)="A",LEFT(Z63,1)="F",LEFT(Z63,1)="C"),LEFT(Z63,1),"R"),EA$18),"")</f>
        <v>17</v>
      </c>
      <c r="EB63" s="108">
        <f t="shared" ref="EB63" si="2681">IFERROR(IF(AND($E64="H",AA63&lt;&gt;""),IF(OR(LEFT(AA63,1)="T",LEFT(AA63,1)="S",LEFT(AA63,1)="A",LEFT(AA63,1)="F",LEFT(AA63,1)="C"),LEFT(AA63,1),"R"),EB$18),"")</f>
        <v>18</v>
      </c>
      <c r="EC63" s="108">
        <f t="shared" ref="EC63" si="2682">IFERROR(IF(AND($E64="H",AB63&lt;&gt;""),IF(OR(LEFT(AB63,1)="T",LEFT(AB63,1)="S",LEFT(AB63,1)="A",LEFT(AB63,1)="F",LEFT(AB63,1)="C"),LEFT(AB63,1),"R"),EC$18),"")</f>
        <v>19</v>
      </c>
      <c r="ED63" s="108">
        <f t="shared" ref="ED63" si="2683">IFERROR(IF(AND($E64="H",AC63&lt;&gt;""),IF(OR(LEFT(AC63,1)="T",LEFT(AC63,1)="S",LEFT(AC63,1)="A",LEFT(AC63,1)="F",LEFT(AC63,1)="C"),LEFT(AC63,1),"R"),ED$18),"")</f>
        <v>20</v>
      </c>
      <c r="EE63" s="108"/>
      <c r="EF63" s="108"/>
      <c r="EG63" s="108">
        <f t="shared" ref="EG63:EZ63" si="2684">IFERROR(IF(J63&lt;&gt;"",UPPER(J63),EG$18),EG$18)</f>
        <v>1</v>
      </c>
      <c r="EH63" s="108">
        <f t="shared" si="2684"/>
        <v>2</v>
      </c>
      <c r="EI63" s="108">
        <f t="shared" si="2684"/>
        <v>3</v>
      </c>
      <c r="EJ63" s="108">
        <f t="shared" si="2684"/>
        <v>4</v>
      </c>
      <c r="EK63" s="108">
        <f t="shared" si="2684"/>
        <v>5</v>
      </c>
      <c r="EL63" s="108">
        <f t="shared" si="2684"/>
        <v>6</v>
      </c>
      <c r="EM63" s="108">
        <f t="shared" si="2684"/>
        <v>7</v>
      </c>
      <c r="EN63" s="108">
        <f t="shared" si="2684"/>
        <v>8</v>
      </c>
      <c r="EO63" s="108">
        <f t="shared" si="2684"/>
        <v>9</v>
      </c>
      <c r="EP63" s="108">
        <f t="shared" si="2684"/>
        <v>10</v>
      </c>
      <c r="EQ63" s="108">
        <f t="shared" si="2684"/>
        <v>11</v>
      </c>
      <c r="ER63" s="108">
        <f t="shared" si="2684"/>
        <v>12</v>
      </c>
      <c r="ES63" s="108">
        <f t="shared" si="2684"/>
        <v>13</v>
      </c>
      <c r="ET63" s="108">
        <f t="shared" si="2684"/>
        <v>14</v>
      </c>
      <c r="EU63" s="108">
        <f t="shared" si="2684"/>
        <v>15</v>
      </c>
      <c r="EV63" s="108">
        <f t="shared" si="2684"/>
        <v>16</v>
      </c>
      <c r="EW63" s="108">
        <f t="shared" si="2684"/>
        <v>17</v>
      </c>
      <c r="EX63" s="108">
        <f t="shared" si="2684"/>
        <v>18</v>
      </c>
      <c r="EY63" s="108">
        <f t="shared" si="2684"/>
        <v>19</v>
      </c>
      <c r="EZ63" s="108">
        <f t="shared" si="2684"/>
        <v>20</v>
      </c>
      <c r="FA63" s="108"/>
      <c r="FB63" s="108">
        <f t="shared" ref="FB63" si="2685">COUNTIF($DK63:$ED63,FB$18)</f>
        <v>0</v>
      </c>
      <c r="FC63" s="108">
        <f t="shared" si="934"/>
        <v>0</v>
      </c>
      <c r="FD63" s="108">
        <f t="shared" si="934"/>
        <v>0</v>
      </c>
      <c r="FE63" s="108">
        <f t="shared" si="934"/>
        <v>0</v>
      </c>
      <c r="FF63" s="108">
        <f t="shared" si="934"/>
        <v>0</v>
      </c>
      <c r="FG63" s="108">
        <f t="shared" si="934"/>
        <v>0</v>
      </c>
      <c r="FH63" s="108"/>
      <c r="FI63" s="108" t="str">
        <f t="shared" ref="FI63" si="2686">IF(AND($F63="Hybrid - Thrust + 2 connections",FI64=0,LEFT($J63,1)="C",LEFT($K63,1)="C",LEFT($L63,1)="C"),"X","")</f>
        <v/>
      </c>
      <c r="FJ63" s="108"/>
      <c r="FL63" s="120" t="e">
        <f>IF(OR(LEFT(#REF!,2)="PL",LEFT(#REF!,2)="PL",LEFT(#REF!,2)="PL",LEFT(#REF!,2)="PL",LEFT(#REF!,2)="PL"),IF($BS$17-BR63&gt;$FL$17,"X",""),"")</f>
        <v>#REF!</v>
      </c>
      <c r="FM63" s="120"/>
      <c r="FN63" s="111" t="str">
        <f>IF(E64=3,_xlfn.NUMBERVALUE(LEFT(J63,1)),"")</f>
        <v/>
      </c>
    </row>
    <row r="64" spans="1:170" x14ac:dyDescent="0.3">
      <c r="A64" s="40"/>
      <c r="B64" s="41"/>
      <c r="C64" s="41"/>
      <c r="D64" s="41"/>
      <c r="E64" s="21" t="str">
        <f t="shared" ref="E64" si="2687">IF(F63="Acrobatic - Pair","PA",IF(F63="Acrobatic Airborn","A",IF(F63="Acrobatic Balance","B",IF(F63="Acrobatic Combined","C",IF(F63="Acrobatic Platform","P",IF(F63="Technical Required Element",3,IF(LEFT(F63,4)="Hybr","H","")))))))</f>
        <v/>
      </c>
      <c r="F64" s="21" t="str">
        <f t="shared" ref="F64" si="2688">IF(AND(F63="Hybrid - Thrust + 2 connections",BU63="X"),"Hybrid - Thrust",IF(OR(E64="A",E64="B",E64="C",E64="P"),"Acrobatic",""))</f>
        <v/>
      </c>
      <c r="G64" s="43"/>
      <c r="H64" s="222" t="str">
        <f t="shared" ref="H64" si="2689">IF(E64="PA",IF(OR(LEFT(J63,1)="L",LEFT(J63,1)="S"),"A-Pair-Lift",IF(OR(LEFT(J63,1)="W",LEFT(J63,1)="T"),"A-Pair-Throw",IF(LEFT(J63,1)="J","A-Pair-Jump","A-Pair"))),IF(OR(E64="A",E64="B",E64="C",E64="P"),CONCATENATE("Acro-",E64),""))</f>
        <v/>
      </c>
      <c r="I64" s="216" t="e">
        <f t="shared" ref="I64" si="2690">IF(OR(F63="Hybrid - min 4 swimmers (no DD)",LEFT(F63,5)="Trans"),0,INDEX($BV$3:$BV$9,MATCH(E64,$BU$3:$BU$9,0)))</f>
        <v>#N/A</v>
      </c>
      <c r="J64" s="210">
        <f t="shared" ref="J64" ca="1" si="2691">IFERROR(IF($H63="No DD",0,IF(OR(ISBLANK(J63),J63="N/A"),0,INDEX(INDIRECT(AV64),MATCH(J63,INDIRECT(AV63),0)))),0)</f>
        <v>0</v>
      </c>
      <c r="K64" s="210">
        <f t="shared" ref="K64" ca="1" si="2692">IFERROR(IF($H63="No DD",0,IF(OR(ISBLANK(K63),K63="N/A"),0,INDEX(INDIRECT(AW64),MATCH(K63,INDIRECT(AW63),0)))),0)</f>
        <v>0</v>
      </c>
      <c r="L64" s="210">
        <f t="shared" ref="L64" ca="1" si="2693">IFERROR(IF($H63="No DD",0,IF(OR(ISBLANK(L63),L63="N/A"),0,INDEX(INDIRECT(AX64),MATCH(L63,INDIRECT(AX63),0)))),0)</f>
        <v>0</v>
      </c>
      <c r="M64" s="210">
        <f t="shared" ref="M64" ca="1" si="2694">IFERROR(IF($H63="No DD",0,IF(OR(ISBLANK(M63),M63="N/A"),0,INDEX(INDIRECT(AY64),MATCH(M63,INDIRECT(AY63),0)))),0)</f>
        <v>0</v>
      </c>
      <c r="N64" s="210">
        <f t="shared" ref="N64" ca="1" si="2695">IFERROR(IF($H63="No DD",0,IF(OR(ISBLANK(N63),N63="N/A"),0,INDEX(INDIRECT(AZ64),MATCH(N63,INDIRECT(AZ63),0)))),0)</f>
        <v>0</v>
      </c>
      <c r="O64" s="210">
        <f t="shared" ref="O64" ca="1" si="2696">IFERROR(IF($H63="No DD",0,IF(OR(ISBLANK(O63),O63="N/A"),0,INDEX(INDIRECT(BA64),MATCH(O63,INDIRECT(BA63),0)))),0)</f>
        <v>0</v>
      </c>
      <c r="P64" s="210">
        <f t="shared" ref="P64" ca="1" si="2697">IFERROR(IF($H63="No DD",0,IF(OR(ISBLANK(P63),P63="N/A"),0,INDEX(INDIRECT(BB64),MATCH(P63,INDIRECT(BB63),0)))),0)</f>
        <v>0</v>
      </c>
      <c r="Q64" s="210">
        <f t="shared" ref="Q64" ca="1" si="2698">IFERROR(IF($H63="No DD",0,IF(OR(ISBLANK(Q63),Q63="N/A"),0,INDEX(INDIRECT(BC64),MATCH(Q63,INDIRECT(BC63),0)))),0)</f>
        <v>0</v>
      </c>
      <c r="R64" s="210">
        <f t="shared" ref="R64" ca="1" si="2699">IFERROR(IF($H63="No DD",0,IF(OR(ISBLANK(R63),R63="N/A"),0,INDEX(INDIRECT(BD64),MATCH(R63,INDIRECT(BD63),0)))),0)</f>
        <v>0</v>
      </c>
      <c r="S64" s="210">
        <f t="shared" ref="S64" ca="1" si="2700">IFERROR(IF($H63="No DD",0,IF(OR(ISBLANK(S63),S63="N/A"),0,INDEX(INDIRECT(BE64),MATCH(S63,INDIRECT(BE63),0)))),0)</f>
        <v>0</v>
      </c>
      <c r="T64" s="210">
        <f t="shared" ref="T64" ca="1" si="2701">IFERROR(IF($H63="No DD",0,IF(OR(ISBLANK(T63),T63="N/A"),0,INDEX(INDIRECT(BF64),MATCH(T63,INDIRECT(BF63),0)))),0)</f>
        <v>0</v>
      </c>
      <c r="U64" s="210">
        <f t="shared" ref="U64" ca="1" si="2702">IFERROR(IF($H63="No DD",0,IF(OR(ISBLANK(U63),U63="N/A"),0,INDEX(INDIRECT(BG64),MATCH(U63,INDIRECT(BG63),0)))),0)</f>
        <v>0</v>
      </c>
      <c r="V64" s="210">
        <f t="shared" ref="V64" ca="1" si="2703">IFERROR(IF($H63="No DD",0,IF(OR(ISBLANK(V63),V63="N/A"),0,INDEX(INDIRECT(BH64),MATCH(V63,INDIRECT(BH63),0)))),0)</f>
        <v>0</v>
      </c>
      <c r="W64" s="210">
        <f t="shared" ref="W64" ca="1" si="2704">IFERROR(IF($H63="No DD",0,IF(OR(ISBLANK(W63),W63="N/A"),0,INDEX(INDIRECT(BI64),MATCH(W63,INDIRECT(BI63),0)))),0)</f>
        <v>0</v>
      </c>
      <c r="X64" s="210">
        <f t="shared" ref="X64" ca="1" si="2705">IFERROR(IF($H63="No DD",0,IF(OR(ISBLANK(X63),X63="N/A"),0,INDEX(INDIRECT(BJ64),MATCH(X63,INDIRECT(BJ63),0)))),0)</f>
        <v>0</v>
      </c>
      <c r="Y64" s="210">
        <f t="shared" ref="Y64" ca="1" si="2706">IFERROR(IF($H63="No DD",0,IF(OR(ISBLANK(Y63),Y63="N/A"),0,INDEX(INDIRECT(BK64),MATCH(Y63,INDIRECT(BK63),0)))),0)</f>
        <v>0</v>
      </c>
      <c r="Z64" s="210">
        <f t="shared" ref="Z64" ca="1" si="2707">IFERROR(IF($H63="No DD",0,IF(OR(ISBLANK(Z63),Z63="N/A"),0,INDEX(INDIRECT(BL64),MATCH(Z63,INDIRECT(BL63),0)))),0)</f>
        <v>0</v>
      </c>
      <c r="AA64" s="210">
        <f t="shared" ref="AA64" ca="1" si="2708">IFERROR(IF($H63="No DD",0,IF(OR(ISBLANK(AA63),AA63="N/A"),0,INDEX(INDIRECT(BM64),MATCH(AA63,INDIRECT(BM63),0)))),0)</f>
        <v>0</v>
      </c>
      <c r="AB64" s="210">
        <f t="shared" ref="AB64" ca="1" si="2709">IFERROR(IF($H63="No DD",0,IF(OR(ISBLANK(AB63),AB63="N/A"),0,INDEX(INDIRECT(BN64),MATCH(AB63,INDIRECT(BN63),0)))),0)</f>
        <v>0</v>
      </c>
      <c r="AC64" s="210">
        <f t="shared" ref="AC64" ca="1" si="2710">IFERROR(IF($H63="No DD",0,IF(OR(ISBLANK(AC63),AC63="N/A"),0,INDEX(INDIRECT(BO64),MATCH(AC63,INDIRECT(BO63),0)))),0)</f>
        <v>0</v>
      </c>
      <c r="AD64" s="211" t="str">
        <f>IFERROR(IF(E64="H",INDEX(HybridBonus_Value,MATCH(AD63,HybridBonus_Code,0)),""),"")</f>
        <v/>
      </c>
      <c r="AE64" s="209" t="str">
        <f t="shared" ref="AE64" si="2711">IFERROR(IF(J63&lt;&gt;"",SUM(I64:AD64),""),"")</f>
        <v/>
      </c>
      <c r="AF64" s="76"/>
      <c r="AG64" s="76"/>
      <c r="AH64" s="121"/>
      <c r="AI64" s="121"/>
      <c r="AJ64" s="121"/>
      <c r="AK64" s="121"/>
      <c r="AL64" s="121"/>
      <c r="AM64" s="121"/>
      <c r="AN64" s="121"/>
      <c r="AO64" s="121"/>
      <c r="AP64" s="121"/>
      <c r="AQ64" s="121"/>
      <c r="AR64" s="121"/>
      <c r="AS64" s="121"/>
      <c r="AT64" s="110"/>
      <c r="AU64" s="121"/>
      <c r="AV64" s="111" t="str">
        <f t="shared" ref="AV64" si="2712">IF($E64="H","HybridDD_Value",IF($E64=3,"TreDD_Value",IF($E64="PA","AcroPair_Value",IF(LEFT($F63,4)="Acro",CONCATENATE(AV$16,$E64,"_Value"),""))))</f>
        <v/>
      </c>
      <c r="AW64" s="111" t="str">
        <f t="shared" ref="AW64:AX64" si="2713">IF($E64="H","HybridDD_Value",IF($E64=3,"",IF(LEFT($F63,4)="Acro",CONCATENATE(AW$16,$E64,"_Value"),IF($E64="PA","",""))))</f>
        <v/>
      </c>
      <c r="AX64" s="111" t="str">
        <f t="shared" si="2713"/>
        <v/>
      </c>
      <c r="AY64" s="111" t="str">
        <f t="shared" ref="AY64:BD64" si="2714">IF($E64="H","HybridDD_Value",IF($E64=3,"",IF(LEFT($F63,4)="Acro",CONCATENATE(AY$16,$E64,"_Value"),IF($E64="PA","",""))))</f>
        <v/>
      </c>
      <c r="AZ64" s="111" t="str">
        <f t="shared" si="2714"/>
        <v/>
      </c>
      <c r="BA64" s="111" t="str">
        <f t="shared" si="2714"/>
        <v/>
      </c>
      <c r="BB64" s="111" t="str">
        <f t="shared" si="2714"/>
        <v/>
      </c>
      <c r="BC64" s="111" t="str">
        <f t="shared" si="2714"/>
        <v/>
      </c>
      <c r="BD64" s="111" t="str">
        <f t="shared" si="2714"/>
        <v/>
      </c>
      <c r="BE64" s="110" t="str">
        <f t="shared" ref="BE64" si="2715">IF($E64="H","HybridDD_Value","Data!$BI$1:$BI$5")</f>
        <v>Data!$BI$1:$BI$5</v>
      </c>
      <c r="BF64" s="110" t="str">
        <f t="shared" si="2392"/>
        <v>Data!$BI$1:$BI$5</v>
      </c>
      <c r="BG64" s="110" t="str">
        <f t="shared" si="2392"/>
        <v>Data!$BI$1:$BI$5</v>
      </c>
      <c r="BH64" s="110" t="str">
        <f t="shared" si="2392"/>
        <v>Data!$BI$1:$BI$5</v>
      </c>
      <c r="BI64" s="110" t="str">
        <f t="shared" si="2392"/>
        <v>Data!$BI$1:$BI$5</v>
      </c>
      <c r="BJ64" s="110" t="str">
        <f t="shared" si="2392"/>
        <v>Data!$BI$1:$BI$5</v>
      </c>
      <c r="BK64" s="110" t="str">
        <f t="shared" si="2392"/>
        <v>Data!$BI$1:$BI$5</v>
      </c>
      <c r="BL64" s="110" t="str">
        <f t="shared" si="2392"/>
        <v>Data!$BI$1:$BI$5</v>
      </c>
      <c r="BM64" s="110" t="str">
        <f t="shared" si="2392"/>
        <v>Data!$BI$1:$BI$5</v>
      </c>
      <c r="BN64" s="110" t="str">
        <f t="shared" si="2392"/>
        <v>Data!$BI$1:$BI$5</v>
      </c>
      <c r="BO64" s="110" t="str">
        <f t="shared" si="2392"/>
        <v>Data!$BI$1:$BI$5</v>
      </c>
      <c r="BP64" s="121"/>
      <c r="BQ64" s="121"/>
      <c r="BR64" s="122" t="str">
        <f>IFERROR(IF(AND($BS$6="T",$BS$8="T",LEFT(F63,4)="Acro",AE64&gt;3),"X",IF($N$7="X",IF(AND(E64="C",AE64&gt;$CA$6),"X",IF(AND(E64="A",AE64&gt;$CA$4),"X",IF(AND(E64="B",AE64&gt;$CA$5),"X",IF(AND(E64="P",AE64&gt;$CA$7),"X","")))),"")),"")</f>
        <v/>
      </c>
      <c r="BS64" s="113"/>
      <c r="BU64" s="108"/>
      <c r="CA64" s="111"/>
      <c r="CB64" s="111"/>
      <c r="CC64" s="111"/>
      <c r="CG64" s="108" t="str">
        <f t="shared" si="1891"/>
        <v/>
      </c>
      <c r="CH64" s="108" t="str">
        <f t="shared" si="1892"/>
        <v/>
      </c>
      <c r="CI64" s="108" t="str">
        <f t="shared" si="1893"/>
        <v/>
      </c>
      <c r="CJ64" s="108" t="str">
        <f t="shared" si="1894"/>
        <v/>
      </c>
      <c r="CR64" s="108">
        <v>46</v>
      </c>
      <c r="DI64" s="108" t="str" cm="1">
        <f t="array" ref="DI64">IFERROR(INDEX(DK64:ED64,MATCH(TRUE,INDEX((DK64:ED64&lt;&gt;""),),0)),"")</f>
        <v/>
      </c>
      <c r="DK64" s="108" t="str">
        <f t="shared" ref="DK64" si="2716">IF(F63="Hybrid - Thrust + 2 connections",IF(COUNTIF($DK63:$ED63,DK63)&gt;1,DK63,""),IF(COUNTIF($DK63:$ED63,DK63)&gt;5,DK63,""))</f>
        <v/>
      </c>
      <c r="DL64" s="108" t="str">
        <f t="shared" ref="DL64" si="2717">IF(G63="Hybrid - Thrust + 2 connections",IF(COUNTIF($DK63:$ED63,DL63)&gt;1,DL63,""),IF(COUNTIF($DK63:$ED63,DL63)&gt;5,DL63,""))</f>
        <v/>
      </c>
      <c r="DM64" s="108" t="str">
        <f t="shared" ref="DM64" si="2718">IF(H63="Hybrid - Thrust + 2 connections",IF(COUNTIF($DK63:$ED63,DM63)&gt;1,DM63,""),IF(COUNTIF($DK63:$ED63,DM63)&gt;5,DM63,""))</f>
        <v/>
      </c>
      <c r="DN64" s="108" t="str">
        <f t="shared" ref="DN64" si="2719">IF(I63="Hybrid - Thrust + 2 connections",IF(COUNTIF($DK63:$ED63,DN63)&gt;1,DN63,""),IF(COUNTIF($DK63:$ED63,DN63)&gt;5,DN63,""))</f>
        <v/>
      </c>
      <c r="DO64" s="108" t="str">
        <f t="shared" ref="DO64" si="2720">IF(J63="Hybrid - Thrust + 2 connections",IF(COUNTIF($DK63:$ED63,DO63)&gt;1,DO63,""),IF(COUNTIF($DK63:$ED63,DO63)&gt;5,DO63,""))</f>
        <v/>
      </c>
      <c r="DP64" s="108" t="str">
        <f t="shared" ref="DP64" si="2721">IF(K63="Hybrid - Thrust + 2 connections",IF(COUNTIF($DK63:$ED63,DP63)&gt;1,DP63,""),IF(COUNTIF($DK63:$ED63,DP63)&gt;5,DP63,""))</f>
        <v/>
      </c>
      <c r="DQ64" s="108" t="str">
        <f t="shared" ref="DQ64" si="2722">IF(L63="Hybrid - Thrust + 2 connections",IF(COUNTIF($DK63:$ED63,DQ63)&gt;1,DQ63,""),IF(COUNTIF($DK63:$ED63,DQ63)&gt;5,DQ63,""))</f>
        <v/>
      </c>
      <c r="DR64" s="108" t="str">
        <f t="shared" ref="DR64" si="2723">IF(M63="Hybrid - Thrust + 2 connections",IF(COUNTIF($DK63:$ED63,DR63)&gt;1,DR63,""),IF(COUNTIF($DK63:$ED63,DR63)&gt;5,DR63,""))</f>
        <v/>
      </c>
      <c r="DS64" s="108" t="str">
        <f t="shared" ref="DS64" si="2724">IF(N63="Hybrid - Thrust + 2 connections",IF(COUNTIF($DK63:$ED63,DS63)&gt;1,DS63,""),IF(COUNTIF($DK63:$ED63,DS63)&gt;5,DS63,""))</f>
        <v/>
      </c>
      <c r="DT64" s="108" t="str">
        <f t="shared" ref="DT64" si="2725">IF(O63="Hybrid - Thrust + 2 connections",IF(COUNTIF($DK63:$ED63,DT63)&gt;1,DT63,""),IF(COUNTIF($DK63:$ED63,DT63)&gt;5,DT63,""))</f>
        <v/>
      </c>
      <c r="DU64" s="108" t="str">
        <f t="shared" ref="DU64" si="2726">IF(P63="Hybrid - Thrust + 2 connections",IF(COUNTIF($DK63:$ED63,DU63)&gt;1,DU63,""),IF(COUNTIF($DK63:$ED63,DU63)&gt;5,DU63,""))</f>
        <v/>
      </c>
      <c r="DV64" s="108" t="str">
        <f t="shared" ref="DV64" si="2727">IF(Q63="Hybrid - Thrust + 2 connections",IF(COUNTIF($DK63:$ED63,DV63)&gt;1,DV63,""),IF(COUNTIF($DK63:$ED63,DV63)&gt;5,DV63,""))</f>
        <v/>
      </c>
      <c r="DW64" s="108" t="str">
        <f t="shared" ref="DW64" si="2728">IF(R63="Hybrid - Thrust + 2 connections",IF(COUNTIF($DK63:$ED63,DW63)&gt;1,DW63,""),IF(COUNTIF($DK63:$ED63,DW63)&gt;5,DW63,""))</f>
        <v/>
      </c>
      <c r="DX64" s="108" t="str">
        <f t="shared" ref="DX64" si="2729">IF(S63="Hybrid - Thrust + 2 connections",IF(COUNTIF($DK63:$ED63,DX63)&gt;1,DX63,""),IF(COUNTIF($DK63:$ED63,DX63)&gt;5,DX63,""))</f>
        <v/>
      </c>
      <c r="DY64" s="108" t="str">
        <f t="shared" ref="DY64" si="2730">IF(T63="Hybrid - Thrust + 2 connections",IF(COUNTIF($DK63:$ED63,DY63)&gt;1,DY63,""),IF(COUNTIF($DK63:$ED63,DY63)&gt;5,DY63,""))</f>
        <v/>
      </c>
      <c r="DZ64" s="108" t="str">
        <f t="shared" ref="DZ64" si="2731">IF(U63="Hybrid - Thrust + 2 connections",IF(COUNTIF($DK63:$ED63,DZ63)&gt;1,DZ63,""),IF(COUNTIF($DK63:$ED63,DZ63)&gt;5,DZ63,""))</f>
        <v/>
      </c>
      <c r="EA64" s="108" t="str">
        <f t="shared" ref="EA64" si="2732">IF(V63="Hybrid - Thrust + 2 connections",IF(COUNTIF($DK63:$ED63,EA63)&gt;1,EA63,""),IF(COUNTIF($DK63:$ED63,EA63)&gt;5,EA63,""))</f>
        <v/>
      </c>
      <c r="EB64" s="108" t="str">
        <f t="shared" ref="EB64" si="2733">IF(W63="Hybrid - Thrust + 2 connections",IF(COUNTIF($DK63:$ED63,EB63)&gt;1,EB63,""),IF(COUNTIF($DK63:$ED63,EB63)&gt;5,EB63,""))</f>
        <v/>
      </c>
      <c r="EC64" s="108" t="str">
        <f t="shared" ref="EC64" si="2734">IF(X63="Hybrid - Thrust + 2 connections",IF(COUNTIF($DK63:$ED63,EC63)&gt;1,EC63,""),IF(COUNTIF($DK63:$ED63,EC63)&gt;5,EC63,""))</f>
        <v/>
      </c>
      <c r="ED64" s="108" t="str">
        <f t="shared" ref="ED64" si="2735">IF(Y63="Hybrid - Thrust + 2 connections",IF(COUNTIF($DK63:$ED63,ED63)&gt;1,ED63,""),IF(COUNTIF($DK63:$ED63,ED63)&gt;5,ED63,""))</f>
        <v/>
      </c>
      <c r="EE64" s="108"/>
      <c r="EF64" s="108" t="str" cm="1">
        <f t="array" ref="EF64">IFERROR(INDEX(EG64:EZ64,MATCH(TRUE,INDEX((EG64:EZ64&lt;&gt;""),),0)),"")</f>
        <v/>
      </c>
      <c r="EG64" s="108" t="str">
        <f t="shared" ref="EG64" si="2736">IF(COUNTIF($EG63:$EZ63,EG63)&gt;3,EG63,"")</f>
        <v/>
      </c>
      <c r="EH64" s="108" t="str">
        <f t="shared" ref="EH64" si="2737">IF(COUNTIF($EG63:$EZ63,EH63)&gt;3,EH63,"")</f>
        <v/>
      </c>
      <c r="EI64" s="108" t="str">
        <f t="shared" ref="EI64" si="2738">IF(COUNTIF($EG63:$EZ63,EI63)&gt;3,EI63,"")</f>
        <v/>
      </c>
      <c r="EJ64" s="108" t="str">
        <f t="shared" ref="EJ64" si="2739">IF(COUNTIF($EG63:$EZ63,EJ63)&gt;3,EJ63,"")</f>
        <v/>
      </c>
      <c r="EK64" s="108" t="str">
        <f t="shared" ref="EK64" si="2740">IF(COUNTIF($EG63:$EZ63,EK63)&gt;3,EK63,"")</f>
        <v/>
      </c>
      <c r="EL64" s="108" t="str">
        <f t="shared" ref="EL64" si="2741">IF(COUNTIF($EG63:$EZ63,EL63)&gt;3,EL63,"")</f>
        <v/>
      </c>
      <c r="EM64" s="108" t="str">
        <f t="shared" ref="EM64" si="2742">IF(COUNTIF($EG63:$EZ63,EM63)&gt;3,EM63,"")</f>
        <v/>
      </c>
      <c r="EN64" s="108" t="str">
        <f t="shared" ref="EN64" si="2743">IF(COUNTIF($EG63:$EZ63,EN63)&gt;3,EN63,"")</f>
        <v/>
      </c>
      <c r="EO64" s="108" t="str">
        <f t="shared" ref="EO64" si="2744">IF(COUNTIF($EG63:$EZ63,EO63)&gt;3,EO63,"")</f>
        <v/>
      </c>
      <c r="EP64" s="108" t="str">
        <f t="shared" ref="EP64" si="2745">IF(COUNTIF($EG63:$EZ63,EP63)&gt;3,EP63,"")</f>
        <v/>
      </c>
      <c r="EQ64" s="108" t="str">
        <f t="shared" ref="EQ64" si="2746">IF(COUNTIF($EG63:$EZ63,EQ63)&gt;3,EQ63,"")</f>
        <v/>
      </c>
      <c r="ER64" s="108" t="str">
        <f t="shared" ref="ER64" si="2747">IF(COUNTIF($EG63:$EZ63,ER63)&gt;3,ER63,"")</f>
        <v/>
      </c>
      <c r="ES64" s="108" t="str">
        <f t="shared" ref="ES64" si="2748">IF(COUNTIF($EG63:$EZ63,ES63)&gt;3,ES63,"")</f>
        <v/>
      </c>
      <c r="ET64" s="108" t="str">
        <f t="shared" ref="ET64" si="2749">IF(COUNTIF($EG63:$EZ63,ET63)&gt;3,ET63,"")</f>
        <v/>
      </c>
      <c r="EU64" s="108" t="str">
        <f t="shared" ref="EU64" si="2750">IF(COUNTIF($EG63:$EZ63,EU63)&gt;3,EU63,"")</f>
        <v/>
      </c>
      <c r="EV64" s="108" t="str">
        <f t="shared" ref="EV64" si="2751">IF(COUNTIF($EG63:$EZ63,EV63)&gt;3,EV63,"")</f>
        <v/>
      </c>
      <c r="EW64" s="108" t="str">
        <f t="shared" ref="EW64" si="2752">IF(COUNTIF($EG63:$EZ63,EW63)&gt;3,EW63,"")</f>
        <v/>
      </c>
      <c r="EX64" s="108" t="str">
        <f t="shared" ref="EX64" si="2753">IF(COUNTIF($EG63:$EZ63,EX63)&gt;3,EX63,"")</f>
        <v/>
      </c>
      <c r="EY64" s="108" t="str">
        <f t="shared" ref="EY64" si="2754">IF(COUNTIF($EG63:$EZ63,EY63)&gt;3,EY63,"")</f>
        <v/>
      </c>
      <c r="EZ64" s="108" t="str">
        <f t="shared" ref="EZ64" si="2755">IF(COUNTIF($EG63:$EZ63,EZ63)&gt;3,EZ63,"")</f>
        <v/>
      </c>
      <c r="FA64" s="108"/>
      <c r="FB64" s="108"/>
      <c r="FC64" s="108"/>
      <c r="FD64" s="108"/>
      <c r="FE64" s="108"/>
      <c r="FF64" s="108"/>
      <c r="FG64" s="108"/>
      <c r="FH64" s="108"/>
      <c r="FI64" s="108" t="str">
        <f t="shared" ref="FI64" si="2756">IF($F63="Hybrid - Thrust + 2 connections",COUNTBLANK(J63:L63),"")</f>
        <v/>
      </c>
      <c r="FJ64" s="108"/>
      <c r="FN64" s="111"/>
    </row>
    <row r="65" spans="1:178" x14ac:dyDescent="0.3">
      <c r="A65" s="40" t="str">
        <f>IF(AND(E63="",A63&lt;&gt;""),IF(BS63=$BS$18,"",IF(C63&lt;&gt;"",IF(D63=59,MINUTE(BS63)+1,MINUTE(BS63)),"")),"")</f>
        <v/>
      </c>
      <c r="B65" s="41" t="str">
        <f>IF(AND(E63="",B63&lt;&gt;""),IF(BS63=$BS$18,"",IF(C63&lt;&gt;"",IF(D63=59,0,SECOND(BS63)+1),"")),"")</f>
        <v/>
      </c>
      <c r="C65" s="51"/>
      <c r="D65" s="51"/>
      <c r="E65" s="9"/>
      <c r="F65" s="52"/>
      <c r="G65" s="43" t="str">
        <f>IF(F65&lt;&gt;"",IF(OR(F65="Transition",F65="Transition - Surface Connection"),0,MAX($G$19:G64)+1),"")</f>
        <v/>
      </c>
      <c r="H65" s="57" t="str">
        <f t="shared" ref="H65" si="2757">IFERROR(IF(E66="3","",IF(OR(F65="Hybrid - min 4 swimmers (no DD)",LEFT(F65,5)="Trans"),"No DD",CONCATENATE("BM = ",I66))),"")</f>
        <v/>
      </c>
      <c r="I65" s="58"/>
      <c r="J65" s="130"/>
      <c r="K65" s="137"/>
      <c r="L65" s="137"/>
      <c r="M65" s="137"/>
      <c r="N65" s="137"/>
      <c r="O65" s="137"/>
      <c r="P65" s="137"/>
      <c r="Q65" s="137"/>
      <c r="R65" s="137"/>
      <c r="S65" s="137"/>
      <c r="T65" s="137"/>
      <c r="U65" s="137"/>
      <c r="V65" s="137"/>
      <c r="W65" s="137"/>
      <c r="X65" s="137"/>
      <c r="Y65" s="137"/>
      <c r="Z65" s="137"/>
      <c r="AA65" s="137"/>
      <c r="AB65" s="137"/>
      <c r="AC65" s="137"/>
      <c r="AD65" s="191"/>
      <c r="AE65" s="44"/>
      <c r="AF65" s="75"/>
      <c r="AG65" s="75"/>
      <c r="AH65" s="110"/>
      <c r="AI65" s="110"/>
      <c r="AJ65" s="110"/>
      <c r="AK65" s="110"/>
      <c r="AL65" s="110"/>
      <c r="AM65" s="110"/>
      <c r="AN65" s="110"/>
      <c r="AO65" s="110"/>
      <c r="AP65" s="110"/>
      <c r="AQ65" s="110"/>
      <c r="AR65" s="110"/>
      <c r="AS65" s="110"/>
      <c r="AT65" s="110" t="str">
        <f>IFERROR(IF(F65&lt;&gt;"",INDEX(Parts_Active,MATCH(F65,Parts_Active,0)),""),"No")</f>
        <v/>
      </c>
      <c r="AU65" s="110"/>
      <c r="AV65" s="110" t="str">
        <f t="shared" ref="AV65" si="2758">IF($E66="H",IF($F65="Hybrid - Thrust + 2 connections","Hybrid_Mix_Req","HybridDD_Code"),IF($E66=3,"TreDD_Code",IF($E66="PA","AcroPair_Code",IF(LEFT($F65,4)="Acro",CONCATENATE(AV$16,$E66,"_Code"),"Data!$BI$1:$BI$5"))))</f>
        <v>Data!$BI$1:$BI$5</v>
      </c>
      <c r="AW65" s="110" t="str">
        <f t="shared" ref="AW65" si="2759">IF($E66="H",IF($F65="Hybrid - Thrust + 2 connections","Hybrid_Mix_Req","HybridDD_Code"),IF($E66=3,"TreDD_Code",IF($E66="PA","AcroPair_Code",IF(LEFT($F65,4)="Acro",CONCATENATE(AW$16,$E66,"_Code"),"Data!$BI$1:$BI$5"))))</f>
        <v>Data!$BI$1:$BI$5</v>
      </c>
      <c r="AX65" s="110" t="str">
        <f t="shared" ref="AX65" si="2760">IF($E66="H",IF($F65="Hybrid - Thrust + 2 connections","Hybrid_Mix_Req","HybridDD_Code"),IF($E66=3,"TreDD_Code",IF($E66="PA","AcroPair_Code",IF(LEFT($F65,4)="Acro",CONCATENATE(AX$16,$E66,"_Code"),"Data!$BI$1:$BI$5"))))</f>
        <v>Data!$BI$1:$BI$5</v>
      </c>
      <c r="AY65" s="110" t="str">
        <f t="shared" ref="AY65" si="2761">IF($E66="H",IF($F65="Hybrid - Thrust + 2 connections","Data!$BI$1:$BI$5","HybridDD_Code"),IF($E66=3,"Data!$BI$1:$BI$5",IF(LEFT($F65,4)="Acro",CONCATENATE(AY$16,$E66,"_Code"),IF($E66="PA","","Data!$BI$1:$BI$5"))))</f>
        <v>Data!$BI$1:$BI$5</v>
      </c>
      <c r="AZ65" s="110" t="str">
        <f t="shared" ref="AZ65" si="2762">IF($E66="H",IF($F65="Hybrid - Thrust + 2 connections","Data!$BI$1:$BI$5","HybridDD_Code"),IF($E66=3,"Data!$BI$1:$BI$5",IF(LEFT($F65,4)="Acro",CONCATENATE(AZ$16,$E66,"_Code"),IF($E66="PA","","Data!$BI$1:$BI$5"))))</f>
        <v>Data!$BI$1:$BI$5</v>
      </c>
      <c r="BA65" s="110" t="str">
        <f t="shared" ref="BA65" si="2763">IF($E66="H",IF($F65="Hybrid - Thrust + 2 connections","Data!$BI$1:$BI$5","HybridDD_Code"),IF($E66=3,"Data!$BI$1:$BI$5",IF(LEFT($F65,4)="Acro",CONCATENATE(BA$16,$E66,"_Code"),IF($E66="PA","","Data!$BI$1:$BI$5"))))</f>
        <v>Data!$BI$1:$BI$5</v>
      </c>
      <c r="BB65" s="110" t="str">
        <f t="shared" ref="BB65" si="2764">IF($E66="H",IF($F65="Hybrid - Thrust + 2 connections","Data!$BI$1:$BI$5","HybridDD_Code"),IF($E66=3,"Data!$BI$1:$BI$5",IF(LEFT($F65,4)="Acro",CONCATENATE(BB$16,$E66,"_Code"),IF($E66="PA","","Data!$BI$1:$BI$5"))))</f>
        <v>Data!$BI$1:$BI$5</v>
      </c>
      <c r="BC65" s="110" t="str">
        <f t="shared" ref="BC65" si="2765">IF($E66="H",IF($F65="Hybrid - Thrust + 2 connections","Data!$BI$1:$BI$5","HybridDD_Code"),IF($E66=3,"Data!$BI$1:$BI$5",IF(LEFT($F65,4)="Acro",CONCATENATE(BC$16,$E66,"_Code"),IF($E66="PA","","Data!$BI$1:$BI$5"))))</f>
        <v>Data!$BI$1:$BI$5</v>
      </c>
      <c r="BD65" s="110" t="str">
        <f t="shared" ref="BD65" si="2766">IF($E66="H",IF($F65="Hybrid - Thrust + 2 connections","Data!$BI$1:$BI$5","HybridDD_Code"),IF($E66=3,"Data!$BI$1:$BI$5",IF(LEFT($F65,4)="Acro",CONCATENATE(BD$16,$E66,"_Code"),IF($E66="PA","","Data!$BI$1:$BI$5"))))</f>
        <v>Data!$BI$1:$BI$5</v>
      </c>
      <c r="BE65" s="110" t="str">
        <f t="shared" ref="BE65" si="2767">IF($E66="H",IF($F65="Hybrid - Thrust + 2 connections","Data!$BI$1:$BI$5","HybridDD_Code"),"Data!$BI$1:$BI$5")</f>
        <v>Data!$BI$1:$BI$5</v>
      </c>
      <c r="BF65" s="110" t="str">
        <f t="shared" si="2392"/>
        <v>Data!$BI$1:$BI$5</v>
      </c>
      <c r="BG65" s="110" t="str">
        <f t="shared" si="2392"/>
        <v>Data!$BI$1:$BI$5</v>
      </c>
      <c r="BH65" s="110" t="str">
        <f t="shared" si="2392"/>
        <v>Data!$BI$1:$BI$5</v>
      </c>
      <c r="BI65" s="110" t="str">
        <f t="shared" si="2392"/>
        <v>Data!$BI$1:$BI$5</v>
      </c>
      <c r="BJ65" s="110" t="str">
        <f t="shared" si="2392"/>
        <v>Data!$BI$1:$BI$5</v>
      </c>
      <c r="BK65" s="110" t="str">
        <f t="shared" si="2392"/>
        <v>Data!$BI$1:$BI$5</v>
      </c>
      <c r="BL65" s="110" t="str">
        <f t="shared" si="2392"/>
        <v>Data!$BI$1:$BI$5</v>
      </c>
      <c r="BM65" s="110" t="str">
        <f t="shared" si="2392"/>
        <v>Data!$BI$1:$BI$5</v>
      </c>
      <c r="BN65" s="110" t="str">
        <f t="shared" si="2392"/>
        <v>Data!$BI$1:$BI$5</v>
      </c>
      <c r="BO65" s="110" t="str">
        <f t="shared" si="2392"/>
        <v>Data!$BI$1:$BI$5</v>
      </c>
      <c r="BP65" s="110"/>
      <c r="BQ65" s="110"/>
      <c r="BR65" s="113" t="str">
        <f t="shared" ref="BR65" si="2768">IFERROR(TIME(0,A65,B65),"")</f>
        <v/>
      </c>
      <c r="BS65" s="114">
        <f>IFERROR(TIME(0,C65,D65),"")</f>
        <v>0</v>
      </c>
      <c r="BT65" s="114" t="str">
        <f t="shared" ref="BT65" si="2769">IF(BS65&gt;$D$12,"X","")</f>
        <v/>
      </c>
      <c r="BU65" s="108" t="str">
        <f>IF(AND(F65="Hybrid - Thrust + 2 connections",OR(LEFT(J65,1)="T",LEFT(K65,1)="T",LEFT(L65,1)="T",LEFT(NG65,1)="T",LEFT(M65,1)="T",LEFT(N65,1)="T",LEFT(O65,1)="T",LEFT(P65,1)="T",LEFT(Q65,1)="T",LEFT(R65,1)="T",LEFT(S65,1)="T",LEFT(T65,1)="T",LEFT(U65,1)="T",LEFT(V65,1)="T",LEFT(W65,1)="T",LEFT(X65,1)="T",LEFT(AA65,1)="T",LEFT(AB65,1)="T",LEFT(AC65,1)="T")),IF(OR(LEN(J65)=2,LEN(K65)=2,LEN(L65)=2,LEN(M65)=2,LEN(N65)=2,LEN(O65)=2,LEN(P65)=2,LEN(Q65)=2,LEN(R65)=2,LEN(S65)=2,LEN(T65)=2,LEN(U65)=2,LEN(V65)=2,LEN(W65)=2,LEN(X65)=2,LEN(Y65)=2,LEN(Z65)=2,LEN(AA65)=2,LEN(AB65)=2,LEN(AC65)=2),"X",""),"")</f>
        <v/>
      </c>
      <c r="BW65" s="108" t="str">
        <f>IF(LEFT(F65,4)="Acro",IF(AND(N65&lt;&gt;"",M65=RIGHT(N65,2)),"X","OK"),"")</f>
        <v/>
      </c>
      <c r="BX65" s="110" t="str">
        <f t="shared" ref="BX65:CE65" si="2770">IFERROR(IF(AND(LEFT($F65,4)="Acro",INDEX(Requ_App,MATCH(AV65,Requ_Code,0))="No"),"X",""),"")</f>
        <v/>
      </c>
      <c r="BY65" s="110" t="str">
        <f t="shared" si="2770"/>
        <v/>
      </c>
      <c r="BZ65" s="110" t="str">
        <f t="shared" si="2770"/>
        <v/>
      </c>
      <c r="CA65" s="110" t="str">
        <f t="shared" si="2770"/>
        <v/>
      </c>
      <c r="CB65" s="110" t="str">
        <f t="shared" si="2770"/>
        <v/>
      </c>
      <c r="CC65" s="110" t="str">
        <f t="shared" si="2770"/>
        <v/>
      </c>
      <c r="CD65" s="110" t="str">
        <f t="shared" si="2770"/>
        <v/>
      </c>
      <c r="CE65" s="110" t="str">
        <f t="shared" si="2770"/>
        <v/>
      </c>
      <c r="CF65" s="110" t="str">
        <f>IFERROR(IF(AND(LEFT($F65,4)="Acro",INDEX(Requ_App,MATCH(BC65,Requ_Code,0))="No"),"X",""),"")</f>
        <v/>
      </c>
      <c r="CG65" s="108" t="str">
        <f t="shared" si="1891"/>
        <v/>
      </c>
      <c r="CH65" s="108" t="str">
        <f t="shared" si="1892"/>
        <v/>
      </c>
      <c r="CI65" s="108" t="str">
        <f t="shared" si="1893"/>
        <v/>
      </c>
      <c r="CJ65" s="108" t="str">
        <f t="shared" si="1894"/>
        <v/>
      </c>
      <c r="CN65" s="108">
        <f t="shared" ref="CN65" si="2771">IF(AND(E66="A",OR(Q65="Grip",Q65="Conn",Q65="Catch")),"A1",IF(AND(E66="A",OR(Q65="Hula",Q65="RetSq",Q65="RetPa")),"A2",IF(AND(E66="B",OR(Q65="Twirl",Q65="RotF")),"B1",IF(AND(E66="B",OR(Q65="Moon",Q65="Mov")),"B2",IF(AND(E66="B",Q65="Hold"),"B3",IF(AND(E66="P",OR(Q65="Porp",Q65="Spitch")),"P1",IF(AND(E66="P",OR(Q65="Dive",Q65="Ps1",Q65="Ps1t0.5",Q65="Ps1op",Q65="Ps1t0,5o",Q65="Ps1t1",Q65="CH+")),"P2",IF(AND(E66="P",OR(Q65="Spider",Q65="Climb")),"P3",IF(AND(E66="P",OR(Q65="Fall",Q65="FTurn")),"P4",IF(AND(E66="C",OR(Q65="Jump",Q65="Jump&gt;",Q65="On1Foot",Q65="1F&gt;1F")),"C1",IF(AND(E66="C",OR(Q65="Run",Q65="BRun")),"C2",1)))))))))))</f>
        <v>1</v>
      </c>
      <c r="CO65" s="108">
        <f t="shared" ref="CO65" si="2772">IF(AND(E66="A",OR(R65="Grip",R65="Conn",R65="Catch")),"A1",IF(AND(E66="A",OR(R65="Hula",R65="RetSq",R65="RetPa")),"A2",IF(AND(E66="B",OR(R65="Twirl",R65="RotF")),"B1",IF(AND(E66="B",OR(R65="Moon",R65="Mov")),"B3",IF(AND(E66="B",R65="Hold"),"B2",IF(AND(E66="P",OR(R65="Porp",R65="Spitch")),"P1",IF(AND(E66="P",OR(R65="Dive",R65="Ps1",R65="Ps1t0.5",R65="Ps1op",R65="Ps1t0,5o",R65="Ps1t1",R65="CH+")),"P2",IF(AND(E66="P",OR(R65="Spider",R65="Climb")),"P3",IF(AND(E66="P",OR(R65="Fall",R65="FTurn")),"P4",IF(AND(E66="C",OR(R65="Jump",R65="Jump&gt;",R65="On1Foot",R65="1F&gt;1F")),"C1",IF(AND(E66="C",OR(R65="Run",R65="BRun")),"C2",2)))))))))))</f>
        <v>2</v>
      </c>
      <c r="CP65" s="108" t="str">
        <f t="shared" ref="CP65" si="2773">IF(AND(LEFT(F65,4)="Acro",Q65&lt;&gt;"",OR(Q65=R65,CN65=CO65)),IF(R65="C-Roll","","X"),IF(OR(AND(E66="A",Q65="Catch",R65&lt;&gt;"Dbl"),AND(E66="A",R65="Catch",Q65&lt;&gt;"Dbl")),"X",""))</f>
        <v/>
      </c>
      <c r="CQ65" s="108" t="str">
        <f t="shared" ref="CQ65" si="2774">IF(E66="PA",J65,"")</f>
        <v/>
      </c>
      <c r="CR65" s="108">
        <v>47</v>
      </c>
      <c r="CT65" s="108" t="str">
        <f t="shared" ref="CT65" si="2775">IF(AND($E66="A",COUNTIF($DC$19:$DD$68,DC65)&gt;1),DC65,"")</f>
        <v/>
      </c>
      <c r="CU65" s="108" t="str">
        <f t="shared" ref="CU65" si="2776">IF(AND($E66="A",COUNTIF($DC$19:$DD$68,DD65)&gt;1),DD65,"")</f>
        <v/>
      </c>
      <c r="CV65" s="108" t="str">
        <f t="shared" ref="CV65" ca="1" si="2777">IF(AND($E66="B",COUNTIF($J$19:$J$68,J65)&gt;1),J65,"")</f>
        <v/>
      </c>
      <c r="CW65" s="108" t="str">
        <f t="shared" ref="CW65" ca="1" si="2778">IF(AND($E66="B",COUNTIF($K$19:$K$68,K65)&gt;1),K65,"")</f>
        <v/>
      </c>
      <c r="CX65" s="108" t="str">
        <f t="shared" ref="CX65" ca="1" si="2779">IF(AND($E66="C",COUNTIF($J$19:$J$68,J65)&gt;1),J65,"")</f>
        <v/>
      </c>
      <c r="CY65" s="108" t="str">
        <f t="shared" ref="CY65" ca="1" si="2780">IF(AND($E66="P",COUNTIF($J$19:$J$68,J65)&gt;1),J65,"")</f>
        <v/>
      </c>
      <c r="CZ65" s="108" t="str">
        <f t="shared" ref="CZ65" ca="1" si="2781">IF(AND($E66="P",COUNTIF($K$19:$K$68,K65)&gt;1),K65,"")</f>
        <v/>
      </c>
      <c r="DA65" s="108" t="str">
        <f t="shared" ref="DA65" si="2782">IF(AND($E66="P",COUNTIF($DC$19:$DD$68,DC65)&gt;1),DC65,"")</f>
        <v/>
      </c>
      <c r="DB65" s="108" t="str">
        <f t="shared" ref="DB65" si="2783">IF(AND($E66="P",COUNTIF($DC$19:$DD$68,DD65)&gt;1),DD65,"")</f>
        <v/>
      </c>
      <c r="DC65" s="108" t="str">
        <f t="shared" ref="DC65" si="2784">IFERROR(IF(OR(E66="A",E66="P"),M65,""),"")</f>
        <v/>
      </c>
      <c r="DD65" s="108" t="str">
        <f t="shared" ref="DD65" si="2785">IFERROR(IF(OR(E66="A",E66="P"),RIGHT(N65,2),""),"")</f>
        <v/>
      </c>
      <c r="DF65" s="108" t="str">
        <f t="shared" ref="DF65" si="2786">IF(AND($F$8="Open Team Acrobatic",LEFT(F65,4)="Acro"),E66,"")</f>
        <v/>
      </c>
      <c r="DG65" s="108" t="str">
        <f t="shared" ref="DG65" si="2787">IFERROR(IF(HLOOKUP(DF65,$DD$12:$DG$13,2,FALSE)&gt;2,"X",""),"")</f>
        <v/>
      </c>
      <c r="DI65" s="108" t="str">
        <f t="shared" ref="DI65" si="2788">IF(OR(AND(F65="Hybrid - Thrust + 2 connections",DI66="T"),AND(F65="Hybrid - Free",DI66&lt;&gt;"")),"X","")</f>
        <v/>
      </c>
      <c r="DK65" s="108">
        <f t="shared" ref="DK65" si="2789">IFERROR(IF(AND($E66="H",J65&lt;&gt;""),IF(OR(LEFT(J65,1)="T",LEFT(J65,1)="S",LEFT(J65,1)="A",LEFT(J65,1)="F",LEFT(J65,1)="C"),LEFT(J65,1),"R"),DK$18),"")</f>
        <v>1</v>
      </c>
      <c r="DL65" s="108">
        <f t="shared" ref="DL65" si="2790">IFERROR(IF(AND($E66="H",K65&lt;&gt;""),IF(OR(LEFT(K65,1)="T",LEFT(K65,1)="S",LEFT(K65,1)="A",LEFT(K65,1)="F",LEFT(K65,1)="C"),LEFT(K65,1),"R"),DL$18),"")</f>
        <v>2</v>
      </c>
      <c r="DM65" s="108">
        <f t="shared" ref="DM65" si="2791">IFERROR(IF(AND($E66="H",L65&lt;&gt;""),IF(OR(LEFT(L65,1)="T",LEFT(L65,1)="S",LEFT(L65,1)="A",LEFT(L65,1)="F",LEFT(L65,1)="C"),LEFT(L65,1),"R"),DM$18),"")</f>
        <v>3</v>
      </c>
      <c r="DN65" s="108">
        <f t="shared" ref="DN65" si="2792">IFERROR(IF(AND($E66="H",M65&lt;&gt;""),IF(OR(LEFT(M65,1)="T",LEFT(M65,1)="S",LEFT(M65,1)="A",LEFT(M65,1)="F",LEFT(M65,1)="C"),LEFT(M65,1),"R"),DN$18),"")</f>
        <v>4</v>
      </c>
      <c r="DO65" s="108">
        <f t="shared" ref="DO65" si="2793">IFERROR(IF(AND($E66="H",N65&lt;&gt;""),IF(OR(LEFT(N65,1)="T",LEFT(N65,1)="S",LEFT(N65,1)="A",LEFT(N65,1)="F",LEFT(N65,1)="C"),LEFT(N65,1),"R"),DO$18),"")</f>
        <v>5</v>
      </c>
      <c r="DP65" s="108">
        <f t="shared" ref="DP65" si="2794">IFERROR(IF(AND($E66="H",O65&lt;&gt;""),IF(OR(LEFT(O65,1)="T",LEFT(O65,1)="S",LEFT(O65,1)="A",LEFT(O65,1)="F",LEFT(O65,1)="C"),LEFT(O65,1),"R"),DP$18),"")</f>
        <v>6</v>
      </c>
      <c r="DQ65" s="108">
        <f t="shared" ref="DQ65" si="2795">IFERROR(IF(AND($E66="H",P65&lt;&gt;""),IF(OR(LEFT(P65,1)="T",LEFT(P65,1)="S",LEFT(P65,1)="A",LEFT(P65,1)="F",LEFT(P65,1)="C"),LEFT(P65,1),"R"),DQ$18),"")</f>
        <v>7</v>
      </c>
      <c r="DR65" s="108">
        <f t="shared" ref="DR65" si="2796">IFERROR(IF(AND($E66="H",Q65&lt;&gt;""),IF(OR(LEFT(Q65,1)="T",LEFT(Q65,1)="S",LEFT(Q65,1)="A",LEFT(Q65,1)="F",LEFT(Q65,1)="C"),LEFT(Q65,1),"R"),DR$18),"")</f>
        <v>8</v>
      </c>
      <c r="DS65" s="108">
        <f t="shared" ref="DS65" si="2797">IFERROR(IF(AND($E66="H",R65&lt;&gt;""),IF(OR(LEFT(R65,1)="T",LEFT(R65,1)="S",LEFT(R65,1)="A",LEFT(R65,1)="F",LEFT(R65,1)="C"),LEFT(R65,1),"R"),DS$18),"")</f>
        <v>9</v>
      </c>
      <c r="DT65" s="108">
        <f t="shared" ref="DT65" si="2798">IFERROR(IF(AND($E66="H",S65&lt;&gt;""),IF(OR(LEFT(S65,1)="T",LEFT(S65,1)="S",LEFT(S65,1)="A",LEFT(S65,1)="F",LEFT(S65,1)="C"),LEFT(S65,1),"R"),DT$18),"")</f>
        <v>10</v>
      </c>
      <c r="DU65" s="108">
        <f t="shared" ref="DU65" si="2799">IFERROR(IF(AND($E66="H",T65&lt;&gt;""),IF(OR(LEFT(T65,1)="T",LEFT(T65,1)="S",LEFT(T65,1)="A",LEFT(T65,1)="F",LEFT(T65,1)="C"),LEFT(T65,1),"R"),DU$18),"")</f>
        <v>11</v>
      </c>
      <c r="DV65" s="108">
        <f t="shared" ref="DV65" si="2800">IFERROR(IF(AND($E66="H",U65&lt;&gt;""),IF(OR(LEFT(U65,1)="T",LEFT(U65,1)="S",LEFT(U65,1)="A",LEFT(U65,1)="F",LEFT(U65,1)="C"),LEFT(U65,1),"R"),DV$18),"")</f>
        <v>12</v>
      </c>
      <c r="DW65" s="108">
        <f t="shared" ref="DW65" si="2801">IFERROR(IF(AND($E66="H",V65&lt;&gt;""),IF(OR(LEFT(V65,1)="T",LEFT(V65,1)="S",LEFT(V65,1)="A",LEFT(V65,1)="F",LEFT(V65,1)="C"),LEFT(V65,1),"R"),DW$18),"")</f>
        <v>13</v>
      </c>
      <c r="DX65" s="108">
        <f t="shared" ref="DX65" si="2802">IFERROR(IF(AND($E66="H",W65&lt;&gt;""),IF(OR(LEFT(W65,1)="T",LEFT(W65,1)="S",LEFT(W65,1)="A",LEFT(W65,1)="F",LEFT(W65,1)="C"),LEFT(W65,1),"R"),DX$18),"")</f>
        <v>14</v>
      </c>
      <c r="DY65" s="108">
        <f t="shared" ref="DY65" si="2803">IFERROR(IF(AND($E66="H",X65&lt;&gt;""),IF(OR(LEFT(X65,1)="T",LEFT(X65,1)="S",LEFT(X65,1)="A",LEFT(X65,1)="F",LEFT(X65,1)="C"),LEFT(X65,1),"R"),DY$18),"")</f>
        <v>15</v>
      </c>
      <c r="DZ65" s="108">
        <f t="shared" ref="DZ65" si="2804">IFERROR(IF(AND($E66="H",Y65&lt;&gt;""),IF(OR(LEFT(Y65,1)="T",LEFT(Y65,1)="S",LEFT(Y65,1)="A",LEFT(Y65,1)="F",LEFT(Y65,1)="C"),LEFT(Y65,1),"R"),DZ$18),"")</f>
        <v>16</v>
      </c>
      <c r="EA65" s="108">
        <f t="shared" ref="EA65" si="2805">IFERROR(IF(AND($E66="H",Z65&lt;&gt;""),IF(OR(LEFT(Z65,1)="T",LEFT(Z65,1)="S",LEFT(Z65,1)="A",LEFT(Z65,1)="F",LEFT(Z65,1)="C"),LEFT(Z65,1),"R"),EA$18),"")</f>
        <v>17</v>
      </c>
      <c r="EB65" s="108">
        <f t="shared" ref="EB65" si="2806">IFERROR(IF(AND($E66="H",AA65&lt;&gt;""),IF(OR(LEFT(AA65,1)="T",LEFT(AA65,1)="S",LEFT(AA65,1)="A",LEFT(AA65,1)="F",LEFT(AA65,1)="C"),LEFT(AA65,1),"R"),EB$18),"")</f>
        <v>18</v>
      </c>
      <c r="EC65" s="108">
        <f t="shared" ref="EC65" si="2807">IFERROR(IF(AND($E66="H",AB65&lt;&gt;""),IF(OR(LEFT(AB65,1)="T",LEFT(AB65,1)="S",LEFT(AB65,1)="A",LEFT(AB65,1)="F",LEFT(AB65,1)="C"),LEFT(AB65,1),"R"),EC$18),"")</f>
        <v>19</v>
      </c>
      <c r="ED65" s="108">
        <f t="shared" ref="ED65" si="2808">IFERROR(IF(AND($E66="H",AC65&lt;&gt;""),IF(OR(LEFT(AC65,1)="T",LEFT(AC65,1)="S",LEFT(AC65,1)="A",LEFT(AC65,1)="F",LEFT(AC65,1)="C"),LEFT(AC65,1),"R"),ED$18),"")</f>
        <v>20</v>
      </c>
      <c r="EE65" s="108"/>
      <c r="EF65" s="108"/>
      <c r="EG65" s="108">
        <f t="shared" ref="EG65:EZ65" si="2809">IFERROR(IF(J65&lt;&gt;"",UPPER(J65),EG$18),EG$18)</f>
        <v>1</v>
      </c>
      <c r="EH65" s="108">
        <f t="shared" si="2809"/>
        <v>2</v>
      </c>
      <c r="EI65" s="108">
        <f t="shared" si="2809"/>
        <v>3</v>
      </c>
      <c r="EJ65" s="108">
        <f t="shared" si="2809"/>
        <v>4</v>
      </c>
      <c r="EK65" s="108">
        <f t="shared" si="2809"/>
        <v>5</v>
      </c>
      <c r="EL65" s="108">
        <f t="shared" si="2809"/>
        <v>6</v>
      </c>
      <c r="EM65" s="108">
        <f t="shared" si="2809"/>
        <v>7</v>
      </c>
      <c r="EN65" s="108">
        <f t="shared" si="2809"/>
        <v>8</v>
      </c>
      <c r="EO65" s="108">
        <f t="shared" si="2809"/>
        <v>9</v>
      </c>
      <c r="EP65" s="108">
        <f t="shared" si="2809"/>
        <v>10</v>
      </c>
      <c r="EQ65" s="108">
        <f t="shared" si="2809"/>
        <v>11</v>
      </c>
      <c r="ER65" s="108">
        <f t="shared" si="2809"/>
        <v>12</v>
      </c>
      <c r="ES65" s="108">
        <f t="shared" si="2809"/>
        <v>13</v>
      </c>
      <c r="ET65" s="108">
        <f t="shared" si="2809"/>
        <v>14</v>
      </c>
      <c r="EU65" s="108">
        <f t="shared" si="2809"/>
        <v>15</v>
      </c>
      <c r="EV65" s="108">
        <f t="shared" si="2809"/>
        <v>16</v>
      </c>
      <c r="EW65" s="108">
        <f t="shared" si="2809"/>
        <v>17</v>
      </c>
      <c r="EX65" s="108">
        <f t="shared" si="2809"/>
        <v>18</v>
      </c>
      <c r="EY65" s="108">
        <f t="shared" si="2809"/>
        <v>19</v>
      </c>
      <c r="EZ65" s="108">
        <f t="shared" si="2809"/>
        <v>20</v>
      </c>
      <c r="FA65" s="108"/>
      <c r="FB65" s="108">
        <f t="shared" ref="FB65" si="2810">COUNTIF($DK65:$ED65,FB$18)</f>
        <v>0</v>
      </c>
      <c r="FC65" s="108">
        <f t="shared" si="934"/>
        <v>0</v>
      </c>
      <c r="FD65" s="108">
        <f t="shared" si="934"/>
        <v>0</v>
      </c>
      <c r="FE65" s="108">
        <f t="shared" si="934"/>
        <v>0</v>
      </c>
      <c r="FF65" s="108">
        <f t="shared" si="934"/>
        <v>0</v>
      </c>
      <c r="FG65" s="108">
        <f t="shared" si="934"/>
        <v>0</v>
      </c>
      <c r="FH65" s="108"/>
      <c r="FI65" s="108" t="str">
        <f t="shared" ref="FI65" si="2811">IF(AND($F65="Hybrid - Thrust + 2 connections",FI66=0,LEFT($J65,1)="C",LEFT($K65,1)="C",LEFT($L65,1)="C"),"X","")</f>
        <v/>
      </c>
      <c r="FJ65" s="108"/>
      <c r="FL65" s="120" t="e">
        <f>IF(OR(LEFT(#REF!,2)="PL",LEFT(#REF!,2)="PL",LEFT(#REF!,2)="PL",LEFT(#REF!,2)="PL",LEFT(#REF!,2)="PL"),IF($BS$17-BR65&gt;$FL$17,"X",""),"")</f>
        <v>#REF!</v>
      </c>
      <c r="FM65" s="120"/>
      <c r="FN65" s="111" t="str">
        <f>IF(E66=3,_xlfn.NUMBERVALUE(LEFT(J65,1)),"")</f>
        <v/>
      </c>
    </row>
    <row r="66" spans="1:178" x14ac:dyDescent="0.3">
      <c r="A66" s="40"/>
      <c r="B66" s="41"/>
      <c r="C66" s="41"/>
      <c r="D66" s="41"/>
      <c r="E66" s="21" t="str">
        <f t="shared" ref="E66" si="2812">IF(F65="Acrobatic - Pair","PA",IF(F65="Acrobatic Airborn","A",IF(F65="Acrobatic Balance","B",IF(F65="Acrobatic Combined","C",IF(F65="Acrobatic Platform","P",IF(F65="Technical Required Element",3,IF(LEFT(F65,4)="Hybr","H","")))))))</f>
        <v/>
      </c>
      <c r="F66" s="21" t="str">
        <f t="shared" ref="F66" si="2813">IF(AND(F65="Hybrid - Thrust + 2 connections",BU65="X"),"Hybrid - Thrust",IF(OR(E66="A",E66="B",E66="C",E66="P"),"Acrobatic",""))</f>
        <v/>
      </c>
      <c r="G66" s="43"/>
      <c r="H66" s="222" t="str">
        <f t="shared" ref="H66" si="2814">IF(E66="PA",IF(OR(LEFT(J65,1)="L",LEFT(J65,1)="S"),"A-Pair-Lift",IF(OR(LEFT(J65,1)="W",LEFT(J65,1)="T"),"A-Pair-Throw",IF(LEFT(J65,1)="J","A-Pair-Jump","A-Pair"))),IF(OR(E66="A",E66="B",E66="C",E66="P"),CONCATENATE("Acro-",E66),""))</f>
        <v/>
      </c>
      <c r="I66" s="216" t="e">
        <f t="shared" ref="I66" si="2815">IF(OR(F65="Hybrid - min 4 swimmers (no DD)",LEFT(F65,5)="Trans"),0,INDEX($BV$3:$BV$9,MATCH(E66,$BU$3:$BU$9,0)))</f>
        <v>#N/A</v>
      </c>
      <c r="J66" s="210">
        <f t="shared" ref="J66" ca="1" si="2816">IFERROR(IF($H65="No DD",0,IF(OR(ISBLANK(J65),J65="N/A"),0,INDEX(INDIRECT(AV66),MATCH(J65,INDIRECT(AV65),0)))),0)</f>
        <v>0</v>
      </c>
      <c r="K66" s="210">
        <f t="shared" ref="K66" ca="1" si="2817">IFERROR(IF($H65="No DD",0,IF(OR(ISBLANK(K65),K65="N/A"),0,INDEX(INDIRECT(AW66),MATCH(K65,INDIRECT(AW65),0)))),0)</f>
        <v>0</v>
      </c>
      <c r="L66" s="210">
        <f t="shared" ref="L66" ca="1" si="2818">IFERROR(IF($H65="No DD",0,IF(OR(ISBLANK(L65),L65="N/A"),0,INDEX(INDIRECT(AX66),MATCH(L65,INDIRECT(AX65),0)))),0)</f>
        <v>0</v>
      </c>
      <c r="M66" s="210">
        <f t="shared" ref="M66" ca="1" si="2819">IFERROR(IF($H65="No DD",0,IF(OR(ISBLANK(M65),M65="N/A"),0,INDEX(INDIRECT(AY66),MATCH(M65,INDIRECT(AY65),0)))),0)</f>
        <v>0</v>
      </c>
      <c r="N66" s="210">
        <f t="shared" ref="N66" ca="1" si="2820">IFERROR(IF($H65="No DD",0,IF(OR(ISBLANK(N65),N65="N/A"),0,INDEX(INDIRECT(AZ66),MATCH(N65,INDIRECT(AZ65),0)))),0)</f>
        <v>0</v>
      </c>
      <c r="O66" s="210">
        <f t="shared" ref="O66" ca="1" si="2821">IFERROR(IF($H65="No DD",0,IF(OR(ISBLANK(O65),O65="N/A"),0,INDEX(INDIRECT(BA66),MATCH(O65,INDIRECT(BA65),0)))),0)</f>
        <v>0</v>
      </c>
      <c r="P66" s="210">
        <f t="shared" ref="P66" ca="1" si="2822">IFERROR(IF($H65="No DD",0,IF(OR(ISBLANK(P65),P65="N/A"),0,INDEX(INDIRECT(BB66),MATCH(P65,INDIRECT(BB65),0)))),0)</f>
        <v>0</v>
      </c>
      <c r="Q66" s="210">
        <f t="shared" ref="Q66" ca="1" si="2823">IFERROR(IF($H65="No DD",0,IF(OR(ISBLANK(Q65),Q65="N/A"),0,INDEX(INDIRECT(BC66),MATCH(Q65,INDIRECT(BC65),0)))),0)</f>
        <v>0</v>
      </c>
      <c r="R66" s="210">
        <f t="shared" ref="R66" ca="1" si="2824">IFERROR(IF($H65="No DD",0,IF(OR(ISBLANK(R65),R65="N/A"),0,INDEX(INDIRECT(BD66),MATCH(R65,INDIRECT(BD65),0)))),0)</f>
        <v>0</v>
      </c>
      <c r="S66" s="210">
        <f t="shared" ref="S66" ca="1" si="2825">IFERROR(IF($H65="No DD",0,IF(OR(ISBLANK(S65),S65="N/A"),0,INDEX(INDIRECT(BE66),MATCH(S65,INDIRECT(BE65),0)))),0)</f>
        <v>0</v>
      </c>
      <c r="T66" s="210">
        <f t="shared" ref="T66" ca="1" si="2826">IFERROR(IF($H65="No DD",0,IF(OR(ISBLANK(T65),T65="N/A"),0,INDEX(INDIRECT(BF66),MATCH(T65,INDIRECT(BF65),0)))),0)</f>
        <v>0</v>
      </c>
      <c r="U66" s="210">
        <f t="shared" ref="U66" ca="1" si="2827">IFERROR(IF($H65="No DD",0,IF(OR(ISBLANK(U65),U65="N/A"),0,INDEX(INDIRECT(BG66),MATCH(U65,INDIRECT(BG65),0)))),0)</f>
        <v>0</v>
      </c>
      <c r="V66" s="210">
        <f t="shared" ref="V66" ca="1" si="2828">IFERROR(IF($H65="No DD",0,IF(OR(ISBLANK(V65),V65="N/A"),0,INDEX(INDIRECT(BH66),MATCH(V65,INDIRECT(BH65),0)))),0)</f>
        <v>0</v>
      </c>
      <c r="W66" s="210">
        <f t="shared" ref="W66" ca="1" si="2829">IFERROR(IF($H65="No DD",0,IF(OR(ISBLANK(W65),W65="N/A"),0,INDEX(INDIRECT(BI66),MATCH(W65,INDIRECT(BI65),0)))),0)</f>
        <v>0</v>
      </c>
      <c r="X66" s="210">
        <f t="shared" ref="X66" ca="1" si="2830">IFERROR(IF($H65="No DD",0,IF(OR(ISBLANK(X65),X65="N/A"),0,INDEX(INDIRECT(BJ66),MATCH(X65,INDIRECT(BJ65),0)))),0)</f>
        <v>0</v>
      </c>
      <c r="Y66" s="210">
        <f t="shared" ref="Y66" ca="1" si="2831">IFERROR(IF($H65="No DD",0,IF(OR(ISBLANK(Y65),Y65="N/A"),0,INDEX(INDIRECT(BK66),MATCH(Y65,INDIRECT(BK65),0)))),0)</f>
        <v>0</v>
      </c>
      <c r="Z66" s="210">
        <f t="shared" ref="Z66" ca="1" si="2832">IFERROR(IF($H65="No DD",0,IF(OR(ISBLANK(Z65),Z65="N/A"),0,INDEX(INDIRECT(BL66),MATCH(Z65,INDIRECT(BL65),0)))),0)</f>
        <v>0</v>
      </c>
      <c r="AA66" s="210">
        <f t="shared" ref="AA66" ca="1" si="2833">IFERROR(IF($H65="No DD",0,IF(OR(ISBLANK(AA65),AA65="N/A"),0,INDEX(INDIRECT(BM66),MATCH(AA65,INDIRECT(BM65),0)))),0)</f>
        <v>0</v>
      </c>
      <c r="AB66" s="210">
        <f t="shared" ref="AB66" ca="1" si="2834">IFERROR(IF($H65="No DD",0,IF(OR(ISBLANK(AB65),AB65="N/A"),0,INDEX(INDIRECT(BN66),MATCH(AB65,INDIRECT(BN65),0)))),0)</f>
        <v>0</v>
      </c>
      <c r="AC66" s="210">
        <f t="shared" ref="AC66" ca="1" si="2835">IFERROR(IF($H65="No DD",0,IF(OR(ISBLANK(AC65),AC65="N/A"),0,INDEX(INDIRECT(BO66),MATCH(AC65,INDIRECT(BO65),0)))),0)</f>
        <v>0</v>
      </c>
      <c r="AD66" s="211" t="str">
        <f>IFERROR(IF(E66="H",INDEX(HybridBonus_Value,MATCH(AD65,HybridBonus_Code,0)),""),"")</f>
        <v/>
      </c>
      <c r="AE66" s="209" t="str">
        <f t="shared" ref="AE66" si="2836">IFERROR(IF(J65&lt;&gt;"",SUM(I66:AD66),""),"")</f>
        <v/>
      </c>
      <c r="AF66" s="76"/>
      <c r="AG66" s="76"/>
      <c r="AH66" s="121"/>
      <c r="AI66" s="121"/>
      <c r="AJ66" s="121"/>
      <c r="AK66" s="121"/>
      <c r="AL66" s="121"/>
      <c r="AM66" s="121"/>
      <c r="AN66" s="121"/>
      <c r="AO66" s="121"/>
      <c r="AP66" s="121"/>
      <c r="AQ66" s="121"/>
      <c r="AR66" s="121"/>
      <c r="AS66" s="121"/>
      <c r="AT66" s="110"/>
      <c r="AU66" s="121"/>
      <c r="AV66" s="111" t="str">
        <f t="shared" ref="AV66" si="2837">IF($E66="H","HybridDD_Value",IF($E66=3,"TreDD_Value",IF($E66="PA","AcroPair_Value",IF(LEFT($F65,4)="Acro",CONCATENATE(AV$16,$E66,"_Value"),""))))</f>
        <v/>
      </c>
      <c r="AW66" s="111" t="str">
        <f t="shared" ref="AW66:AX66" si="2838">IF($E66="H","HybridDD_Value",IF($E66=3,"",IF(LEFT($F65,4)="Acro",CONCATENATE(AW$16,$E66,"_Value"),IF($E66="PA","",""))))</f>
        <v/>
      </c>
      <c r="AX66" s="111" t="str">
        <f t="shared" si="2838"/>
        <v/>
      </c>
      <c r="AY66" s="111" t="str">
        <f t="shared" ref="AY66:BD66" si="2839">IF($E66="H","HybridDD_Value",IF($E66=3,"",IF(LEFT($F65,4)="Acro",CONCATENATE(AY$16,$E66,"_Value"),IF($E66="PA","",""))))</f>
        <v/>
      </c>
      <c r="AZ66" s="111" t="str">
        <f t="shared" si="2839"/>
        <v/>
      </c>
      <c r="BA66" s="111" t="str">
        <f t="shared" si="2839"/>
        <v/>
      </c>
      <c r="BB66" s="111" t="str">
        <f t="shared" si="2839"/>
        <v/>
      </c>
      <c r="BC66" s="111" t="str">
        <f t="shared" si="2839"/>
        <v/>
      </c>
      <c r="BD66" s="111" t="str">
        <f t="shared" si="2839"/>
        <v/>
      </c>
      <c r="BE66" s="110" t="str">
        <f t="shared" ref="BE66" si="2840">IF($E66="H","HybridDD_Value","Data!$BI$1:$BI$5")</f>
        <v>Data!$BI$1:$BI$5</v>
      </c>
      <c r="BF66" s="110" t="str">
        <f t="shared" si="2392"/>
        <v>Data!$BI$1:$BI$5</v>
      </c>
      <c r="BG66" s="110" t="str">
        <f t="shared" si="2392"/>
        <v>Data!$BI$1:$BI$5</v>
      </c>
      <c r="BH66" s="110" t="str">
        <f t="shared" si="2392"/>
        <v>Data!$BI$1:$BI$5</v>
      </c>
      <c r="BI66" s="110" t="str">
        <f t="shared" si="2392"/>
        <v>Data!$BI$1:$BI$5</v>
      </c>
      <c r="BJ66" s="110" t="str">
        <f t="shared" si="2392"/>
        <v>Data!$BI$1:$BI$5</v>
      </c>
      <c r="BK66" s="110" t="str">
        <f t="shared" si="2392"/>
        <v>Data!$BI$1:$BI$5</v>
      </c>
      <c r="BL66" s="110" t="str">
        <f t="shared" si="2392"/>
        <v>Data!$BI$1:$BI$5</v>
      </c>
      <c r="BM66" s="110" t="str">
        <f t="shared" si="2392"/>
        <v>Data!$BI$1:$BI$5</v>
      </c>
      <c r="BN66" s="110" t="str">
        <f t="shared" si="2392"/>
        <v>Data!$BI$1:$BI$5</v>
      </c>
      <c r="BO66" s="110" t="str">
        <f t="shared" si="2392"/>
        <v>Data!$BI$1:$BI$5</v>
      </c>
      <c r="BP66" s="121"/>
      <c r="BQ66" s="121"/>
      <c r="BR66" s="122" t="str">
        <f>IFERROR(IF(AND($BS$6="T",$BS$8="T",LEFT(F65,4)="Acro",AE66&gt;3),"X",IF($N$7="X",IF(AND(E66="C",AE66&gt;$CA$6),"X",IF(AND(E66="A",AE66&gt;$CA$4),"X",IF(AND(E66="B",AE66&gt;$CA$5),"X",IF(AND(E66="P",AE66&gt;$CA$7),"X","")))),"")),"")</f>
        <v/>
      </c>
      <c r="BS66" s="113"/>
      <c r="BU66" s="108"/>
      <c r="CA66" s="111"/>
      <c r="CB66" s="111"/>
      <c r="CC66" s="111"/>
      <c r="CG66" s="108" t="str">
        <f t="shared" si="1891"/>
        <v/>
      </c>
      <c r="CH66" s="108" t="str">
        <f t="shared" si="1892"/>
        <v/>
      </c>
      <c r="CI66" s="108" t="str">
        <f t="shared" si="1893"/>
        <v/>
      </c>
      <c r="CJ66" s="108" t="str">
        <f t="shared" si="1894"/>
        <v/>
      </c>
      <c r="CR66" s="108">
        <v>48</v>
      </c>
      <c r="DI66" s="108" t="str" cm="1">
        <f t="array" ref="DI66">IFERROR(INDEX(DK66:ED66,MATCH(TRUE,INDEX((DK66:ED66&lt;&gt;""),),0)),"")</f>
        <v/>
      </c>
      <c r="DK66" s="108" t="str">
        <f t="shared" ref="DK66" si="2841">IF(F65="Hybrid - Thrust + 2 connections",IF(COUNTIF($DK65:$ED65,DK65)&gt;1,DK65,""),IF(COUNTIF($DK65:$ED65,DK65)&gt;5,DK65,""))</f>
        <v/>
      </c>
      <c r="DL66" s="108" t="str">
        <f t="shared" ref="DL66" si="2842">IF(G65="Hybrid - Thrust + 2 connections",IF(COUNTIF($DK65:$ED65,DL65)&gt;1,DL65,""),IF(COUNTIF($DK65:$ED65,DL65)&gt;5,DL65,""))</f>
        <v/>
      </c>
      <c r="DM66" s="108" t="str">
        <f t="shared" ref="DM66" si="2843">IF(H65="Hybrid - Thrust + 2 connections",IF(COUNTIF($DK65:$ED65,DM65)&gt;1,DM65,""),IF(COUNTIF($DK65:$ED65,DM65)&gt;5,DM65,""))</f>
        <v/>
      </c>
      <c r="DN66" s="108" t="str">
        <f t="shared" ref="DN66" si="2844">IF(I65="Hybrid - Thrust + 2 connections",IF(COUNTIF($DK65:$ED65,DN65)&gt;1,DN65,""),IF(COUNTIF($DK65:$ED65,DN65)&gt;5,DN65,""))</f>
        <v/>
      </c>
      <c r="DO66" s="108" t="str">
        <f t="shared" ref="DO66" si="2845">IF(J65="Hybrid - Thrust + 2 connections",IF(COUNTIF($DK65:$ED65,DO65)&gt;1,DO65,""),IF(COUNTIF($DK65:$ED65,DO65)&gt;5,DO65,""))</f>
        <v/>
      </c>
      <c r="DP66" s="108" t="str">
        <f t="shared" ref="DP66" si="2846">IF(K65="Hybrid - Thrust + 2 connections",IF(COUNTIF($DK65:$ED65,DP65)&gt;1,DP65,""),IF(COUNTIF($DK65:$ED65,DP65)&gt;5,DP65,""))</f>
        <v/>
      </c>
      <c r="DQ66" s="108" t="str">
        <f t="shared" ref="DQ66" si="2847">IF(L65="Hybrid - Thrust + 2 connections",IF(COUNTIF($DK65:$ED65,DQ65)&gt;1,DQ65,""),IF(COUNTIF($DK65:$ED65,DQ65)&gt;5,DQ65,""))</f>
        <v/>
      </c>
      <c r="DR66" s="108" t="str">
        <f t="shared" ref="DR66" si="2848">IF(M65="Hybrid - Thrust + 2 connections",IF(COUNTIF($DK65:$ED65,DR65)&gt;1,DR65,""),IF(COUNTIF($DK65:$ED65,DR65)&gt;5,DR65,""))</f>
        <v/>
      </c>
      <c r="DS66" s="108" t="str">
        <f t="shared" ref="DS66" si="2849">IF(N65="Hybrid - Thrust + 2 connections",IF(COUNTIF($DK65:$ED65,DS65)&gt;1,DS65,""),IF(COUNTIF($DK65:$ED65,DS65)&gt;5,DS65,""))</f>
        <v/>
      </c>
      <c r="DT66" s="108" t="str">
        <f t="shared" ref="DT66" si="2850">IF(O65="Hybrid - Thrust + 2 connections",IF(COUNTIF($DK65:$ED65,DT65)&gt;1,DT65,""),IF(COUNTIF($DK65:$ED65,DT65)&gt;5,DT65,""))</f>
        <v/>
      </c>
      <c r="DU66" s="108" t="str">
        <f t="shared" ref="DU66" si="2851">IF(P65="Hybrid - Thrust + 2 connections",IF(COUNTIF($DK65:$ED65,DU65)&gt;1,DU65,""),IF(COUNTIF($DK65:$ED65,DU65)&gt;5,DU65,""))</f>
        <v/>
      </c>
      <c r="DV66" s="108" t="str">
        <f t="shared" ref="DV66" si="2852">IF(Q65="Hybrid - Thrust + 2 connections",IF(COUNTIF($DK65:$ED65,DV65)&gt;1,DV65,""),IF(COUNTIF($DK65:$ED65,DV65)&gt;5,DV65,""))</f>
        <v/>
      </c>
      <c r="DW66" s="108" t="str">
        <f t="shared" ref="DW66" si="2853">IF(R65="Hybrid - Thrust + 2 connections",IF(COUNTIF($DK65:$ED65,DW65)&gt;1,DW65,""),IF(COUNTIF($DK65:$ED65,DW65)&gt;5,DW65,""))</f>
        <v/>
      </c>
      <c r="DX66" s="108" t="str">
        <f t="shared" ref="DX66" si="2854">IF(S65="Hybrid - Thrust + 2 connections",IF(COUNTIF($DK65:$ED65,DX65)&gt;1,DX65,""),IF(COUNTIF($DK65:$ED65,DX65)&gt;5,DX65,""))</f>
        <v/>
      </c>
      <c r="DY66" s="108" t="str">
        <f t="shared" ref="DY66" si="2855">IF(T65="Hybrid - Thrust + 2 connections",IF(COUNTIF($DK65:$ED65,DY65)&gt;1,DY65,""),IF(COUNTIF($DK65:$ED65,DY65)&gt;5,DY65,""))</f>
        <v/>
      </c>
      <c r="DZ66" s="108" t="str">
        <f t="shared" ref="DZ66" si="2856">IF(U65="Hybrid - Thrust + 2 connections",IF(COUNTIF($DK65:$ED65,DZ65)&gt;1,DZ65,""),IF(COUNTIF($DK65:$ED65,DZ65)&gt;5,DZ65,""))</f>
        <v/>
      </c>
      <c r="EA66" s="108" t="str">
        <f t="shared" ref="EA66" si="2857">IF(V65="Hybrid - Thrust + 2 connections",IF(COUNTIF($DK65:$ED65,EA65)&gt;1,EA65,""),IF(COUNTIF($DK65:$ED65,EA65)&gt;5,EA65,""))</f>
        <v/>
      </c>
      <c r="EB66" s="108" t="str">
        <f t="shared" ref="EB66" si="2858">IF(W65="Hybrid - Thrust + 2 connections",IF(COUNTIF($DK65:$ED65,EB65)&gt;1,EB65,""),IF(COUNTIF($DK65:$ED65,EB65)&gt;5,EB65,""))</f>
        <v/>
      </c>
      <c r="EC66" s="108" t="str">
        <f t="shared" ref="EC66" si="2859">IF(X65="Hybrid - Thrust + 2 connections",IF(COUNTIF($DK65:$ED65,EC65)&gt;1,EC65,""),IF(COUNTIF($DK65:$ED65,EC65)&gt;5,EC65,""))</f>
        <v/>
      </c>
      <c r="ED66" s="108" t="str">
        <f t="shared" ref="ED66" si="2860">IF(Y65="Hybrid - Thrust + 2 connections",IF(COUNTIF($DK65:$ED65,ED65)&gt;1,ED65,""),IF(COUNTIF($DK65:$ED65,ED65)&gt;5,ED65,""))</f>
        <v/>
      </c>
      <c r="EE66" s="108"/>
      <c r="EF66" s="108" t="str" cm="1">
        <f t="array" ref="EF66">IFERROR(INDEX(EG66:EZ66,MATCH(TRUE,INDEX((EG66:EZ66&lt;&gt;""),),0)),"")</f>
        <v/>
      </c>
      <c r="EG66" s="108" t="str">
        <f t="shared" ref="EG66" si="2861">IF(COUNTIF($EG65:$EZ65,EG65)&gt;3,EG65,"")</f>
        <v/>
      </c>
      <c r="EH66" s="108" t="str">
        <f t="shared" ref="EH66" si="2862">IF(COUNTIF($EG65:$EZ65,EH65)&gt;3,EH65,"")</f>
        <v/>
      </c>
      <c r="EI66" s="108" t="str">
        <f t="shared" ref="EI66" si="2863">IF(COUNTIF($EG65:$EZ65,EI65)&gt;3,EI65,"")</f>
        <v/>
      </c>
      <c r="EJ66" s="108" t="str">
        <f t="shared" ref="EJ66" si="2864">IF(COUNTIF($EG65:$EZ65,EJ65)&gt;3,EJ65,"")</f>
        <v/>
      </c>
      <c r="EK66" s="108" t="str">
        <f t="shared" ref="EK66" si="2865">IF(COUNTIF($EG65:$EZ65,EK65)&gt;3,EK65,"")</f>
        <v/>
      </c>
      <c r="EL66" s="108" t="str">
        <f t="shared" ref="EL66" si="2866">IF(COUNTIF($EG65:$EZ65,EL65)&gt;3,EL65,"")</f>
        <v/>
      </c>
      <c r="EM66" s="108" t="str">
        <f t="shared" ref="EM66" si="2867">IF(COUNTIF($EG65:$EZ65,EM65)&gt;3,EM65,"")</f>
        <v/>
      </c>
      <c r="EN66" s="108" t="str">
        <f t="shared" ref="EN66" si="2868">IF(COUNTIF($EG65:$EZ65,EN65)&gt;3,EN65,"")</f>
        <v/>
      </c>
      <c r="EO66" s="108" t="str">
        <f t="shared" ref="EO66" si="2869">IF(COUNTIF($EG65:$EZ65,EO65)&gt;3,EO65,"")</f>
        <v/>
      </c>
      <c r="EP66" s="108" t="str">
        <f t="shared" ref="EP66" si="2870">IF(COUNTIF($EG65:$EZ65,EP65)&gt;3,EP65,"")</f>
        <v/>
      </c>
      <c r="EQ66" s="108" t="str">
        <f t="shared" ref="EQ66" si="2871">IF(COUNTIF($EG65:$EZ65,EQ65)&gt;3,EQ65,"")</f>
        <v/>
      </c>
      <c r="ER66" s="108" t="str">
        <f t="shared" ref="ER66" si="2872">IF(COUNTIF($EG65:$EZ65,ER65)&gt;3,ER65,"")</f>
        <v/>
      </c>
      <c r="ES66" s="108" t="str">
        <f t="shared" ref="ES66" si="2873">IF(COUNTIF($EG65:$EZ65,ES65)&gt;3,ES65,"")</f>
        <v/>
      </c>
      <c r="ET66" s="108" t="str">
        <f t="shared" ref="ET66" si="2874">IF(COUNTIF($EG65:$EZ65,ET65)&gt;3,ET65,"")</f>
        <v/>
      </c>
      <c r="EU66" s="108" t="str">
        <f t="shared" ref="EU66" si="2875">IF(COUNTIF($EG65:$EZ65,EU65)&gt;3,EU65,"")</f>
        <v/>
      </c>
      <c r="EV66" s="108" t="str">
        <f t="shared" ref="EV66" si="2876">IF(COUNTIF($EG65:$EZ65,EV65)&gt;3,EV65,"")</f>
        <v/>
      </c>
      <c r="EW66" s="108" t="str">
        <f t="shared" ref="EW66" si="2877">IF(COUNTIF($EG65:$EZ65,EW65)&gt;3,EW65,"")</f>
        <v/>
      </c>
      <c r="EX66" s="108" t="str">
        <f t="shared" ref="EX66" si="2878">IF(COUNTIF($EG65:$EZ65,EX65)&gt;3,EX65,"")</f>
        <v/>
      </c>
      <c r="EY66" s="108" t="str">
        <f t="shared" ref="EY66" si="2879">IF(COUNTIF($EG65:$EZ65,EY65)&gt;3,EY65,"")</f>
        <v/>
      </c>
      <c r="EZ66" s="108" t="str">
        <f t="shared" ref="EZ66" si="2880">IF(COUNTIF($EG65:$EZ65,EZ65)&gt;3,EZ65,"")</f>
        <v/>
      </c>
      <c r="FA66" s="108"/>
      <c r="FB66" s="108"/>
      <c r="FC66" s="108"/>
      <c r="FD66" s="108"/>
      <c r="FE66" s="108"/>
      <c r="FF66" s="108"/>
      <c r="FG66" s="108"/>
      <c r="FH66" s="108"/>
      <c r="FI66" s="108" t="str">
        <f t="shared" ref="FI66" si="2881">IF($F65="Hybrid - Thrust + 2 connections",COUNTBLANK(J65:L65),"")</f>
        <v/>
      </c>
      <c r="FJ66" s="108"/>
      <c r="FN66" s="111"/>
    </row>
    <row r="67" spans="1:178" x14ac:dyDescent="0.3">
      <c r="A67" s="40" t="str">
        <f>IF(AND(E65="",A65&lt;&gt;""),IF(BS65=$BS$18,"",IF(C65&lt;&gt;"",IF(D65=59,MINUTE(BS65)+1,MINUTE(BS65)),"")),"")</f>
        <v/>
      </c>
      <c r="B67" s="41" t="str">
        <f>IF(AND(E65="",B65&lt;&gt;""),IF(BS65=$BS$18,"",IF(C65&lt;&gt;"",IF(D65=59,0,SECOND(BS65)+1),"")),"")</f>
        <v/>
      </c>
      <c r="C67" s="51"/>
      <c r="D67" s="51"/>
      <c r="E67" s="9"/>
      <c r="F67" s="52"/>
      <c r="G67" s="43" t="str">
        <f>IF(F67&lt;&gt;"",IF(OR(F67="Transition",F67="Transition - Surface Connection"),0,MAX($G$19:G66)+1),"")</f>
        <v/>
      </c>
      <c r="H67" s="57" t="str">
        <f t="shared" ref="H67" si="2882">IFERROR(IF(E68="3","",IF(OR(F67="Hybrid - min 4 swimmers (no DD)",LEFT(F67,5)="Trans"),"No DD",CONCATENATE("BM = ",I68))),"")</f>
        <v/>
      </c>
      <c r="I67" s="58"/>
      <c r="J67" s="130"/>
      <c r="K67" s="137"/>
      <c r="L67" s="137"/>
      <c r="M67" s="137"/>
      <c r="N67" s="137"/>
      <c r="O67" s="137"/>
      <c r="P67" s="137"/>
      <c r="Q67" s="137"/>
      <c r="R67" s="137"/>
      <c r="S67" s="137"/>
      <c r="T67" s="137"/>
      <c r="U67" s="137"/>
      <c r="V67" s="137"/>
      <c r="W67" s="137"/>
      <c r="X67" s="137"/>
      <c r="Y67" s="137"/>
      <c r="Z67" s="137"/>
      <c r="AA67" s="137"/>
      <c r="AB67" s="137"/>
      <c r="AC67" s="137"/>
      <c r="AD67" s="191"/>
      <c r="AE67" s="44"/>
      <c r="AF67" s="75"/>
      <c r="AG67" s="75"/>
      <c r="AH67" s="110"/>
      <c r="AI67" s="110"/>
      <c r="AJ67" s="110"/>
      <c r="AK67" s="110"/>
      <c r="AL67" s="110"/>
      <c r="AM67" s="110"/>
      <c r="AN67" s="110"/>
      <c r="AO67" s="110"/>
      <c r="AP67" s="110"/>
      <c r="AQ67" s="110"/>
      <c r="AR67" s="110"/>
      <c r="AS67" s="110"/>
      <c r="AT67" s="110" t="str">
        <f>IFERROR(IF(F67&lt;&gt;"",INDEX(Parts_Active,MATCH(F67,Parts_Active,0)),""),"No")</f>
        <v/>
      </c>
      <c r="AU67" s="110"/>
      <c r="AV67" s="110" t="str">
        <f t="shared" ref="AV67" si="2883">IF($E68="H",IF($F67="Hybrid - Thrust + 2 connections","Hybrid_Mix_Req","HybridDD_Code"),IF($E68=3,"TreDD_Code",IF($E68="PA","AcroPair_Code",IF(LEFT($F67,4)="Acro",CONCATENATE(AV$16,$E68,"_Code"),"Data!$BI$1:$BI$5"))))</f>
        <v>Data!$BI$1:$BI$5</v>
      </c>
      <c r="AW67" s="110" t="str">
        <f t="shared" ref="AW67" si="2884">IF($E68="H",IF($F67="Hybrid - Thrust + 2 connections","Hybrid_Mix_Req","HybridDD_Code"),IF($E68=3,"TreDD_Code",IF($E68="PA","AcroPair_Code",IF(LEFT($F67,4)="Acro",CONCATENATE(AW$16,$E68,"_Code"),"Data!$BI$1:$BI$5"))))</f>
        <v>Data!$BI$1:$BI$5</v>
      </c>
      <c r="AX67" s="110" t="str">
        <f t="shared" ref="AX67" si="2885">IF($E68="H",IF($F67="Hybrid - Thrust + 2 connections","Hybrid_Mix_Req","HybridDD_Code"),IF($E68=3,"TreDD_Code",IF($E68="PA","AcroPair_Code",IF(LEFT($F67,4)="Acro",CONCATENATE(AX$16,$E68,"_Code"),"Data!$BI$1:$BI$5"))))</f>
        <v>Data!$BI$1:$BI$5</v>
      </c>
      <c r="AY67" s="110" t="str">
        <f t="shared" ref="AY67" si="2886">IF($E68="H",IF($F67="Hybrid - Thrust + 2 connections","Data!$BI$1:$BI$5","HybridDD_Code"),IF($E68=3,"Data!$BI$1:$BI$5",IF(LEFT($F67,4)="Acro",CONCATENATE(AY$16,$E68,"_Code"),IF($E68="PA","","Data!$BI$1:$BI$5"))))</f>
        <v>Data!$BI$1:$BI$5</v>
      </c>
      <c r="AZ67" s="110" t="str">
        <f t="shared" ref="AZ67" si="2887">IF($E68="H",IF($F67="Hybrid - Thrust + 2 connections","Data!$BI$1:$BI$5","HybridDD_Code"),IF($E68=3,"Data!$BI$1:$BI$5",IF(LEFT($F67,4)="Acro",CONCATENATE(AZ$16,$E68,"_Code"),IF($E68="PA","","Data!$BI$1:$BI$5"))))</f>
        <v>Data!$BI$1:$BI$5</v>
      </c>
      <c r="BA67" s="110" t="str">
        <f t="shared" ref="BA67" si="2888">IF($E68="H",IF($F67="Hybrid - Thrust + 2 connections","Data!$BI$1:$BI$5","HybridDD_Code"),IF($E68=3,"Data!$BI$1:$BI$5",IF(LEFT($F67,4)="Acro",CONCATENATE(BA$16,$E68,"_Code"),IF($E68="PA","","Data!$BI$1:$BI$5"))))</f>
        <v>Data!$BI$1:$BI$5</v>
      </c>
      <c r="BB67" s="110" t="str">
        <f t="shared" ref="BB67" si="2889">IF($E68="H",IF($F67="Hybrid - Thrust + 2 connections","Data!$BI$1:$BI$5","HybridDD_Code"),IF($E68=3,"Data!$BI$1:$BI$5",IF(LEFT($F67,4)="Acro",CONCATENATE(BB$16,$E68,"_Code"),IF($E68="PA","","Data!$BI$1:$BI$5"))))</f>
        <v>Data!$BI$1:$BI$5</v>
      </c>
      <c r="BC67" s="110" t="str">
        <f t="shared" ref="BC67" si="2890">IF($E68="H",IF($F67="Hybrid - Thrust + 2 connections","Data!$BI$1:$BI$5","HybridDD_Code"),IF($E68=3,"Data!$BI$1:$BI$5",IF(LEFT($F67,4)="Acro",CONCATENATE(BC$16,$E68,"_Code"),IF($E68="PA","","Data!$BI$1:$BI$5"))))</f>
        <v>Data!$BI$1:$BI$5</v>
      </c>
      <c r="BD67" s="110" t="str">
        <f t="shared" ref="BD67" si="2891">IF($E68="H",IF($F67="Hybrid - Thrust + 2 connections","Data!$BI$1:$BI$5","HybridDD_Code"),IF($E68=3,"Data!$BI$1:$BI$5",IF(LEFT($F67,4)="Acro",CONCATENATE(BD$16,$E68,"_Code"),IF($E68="PA","","Data!$BI$1:$BI$5"))))</f>
        <v>Data!$BI$1:$BI$5</v>
      </c>
      <c r="BE67" s="110" t="str">
        <f t="shared" ref="BE67" si="2892">IF($E68="H",IF($F67="Hybrid - Thrust + 2 connections","Data!$BI$1:$BI$5","HybridDD_Code"),"Data!$BI$1:$BI$5")</f>
        <v>Data!$BI$1:$BI$5</v>
      </c>
      <c r="BF67" s="110" t="str">
        <f t="shared" si="2392"/>
        <v>Data!$BI$1:$BI$5</v>
      </c>
      <c r="BG67" s="110" t="str">
        <f t="shared" si="2392"/>
        <v>Data!$BI$1:$BI$5</v>
      </c>
      <c r="BH67" s="110" t="str">
        <f t="shared" si="2392"/>
        <v>Data!$BI$1:$BI$5</v>
      </c>
      <c r="BI67" s="110" t="str">
        <f t="shared" si="2392"/>
        <v>Data!$BI$1:$BI$5</v>
      </c>
      <c r="BJ67" s="110" t="str">
        <f t="shared" si="2392"/>
        <v>Data!$BI$1:$BI$5</v>
      </c>
      <c r="BK67" s="110" t="str">
        <f t="shared" si="2392"/>
        <v>Data!$BI$1:$BI$5</v>
      </c>
      <c r="BL67" s="110" t="str">
        <f t="shared" si="2392"/>
        <v>Data!$BI$1:$BI$5</v>
      </c>
      <c r="BM67" s="110" t="str">
        <f t="shared" si="2392"/>
        <v>Data!$BI$1:$BI$5</v>
      </c>
      <c r="BN67" s="110" t="str">
        <f t="shared" si="2392"/>
        <v>Data!$BI$1:$BI$5</v>
      </c>
      <c r="BO67" s="110" t="str">
        <f t="shared" si="2392"/>
        <v>Data!$BI$1:$BI$5</v>
      </c>
      <c r="BP67" s="110"/>
      <c r="BQ67" s="110"/>
      <c r="BR67" s="113" t="str">
        <f t="shared" ref="BR67" si="2893">IFERROR(TIME(0,A67,B67),"")</f>
        <v/>
      </c>
      <c r="BS67" s="114">
        <f>IFERROR(TIME(0,C67,D67),"")</f>
        <v>0</v>
      </c>
      <c r="BT67" s="114" t="str">
        <f t="shared" ref="BT67" si="2894">IF(BS67&gt;$D$12,"X","")</f>
        <v/>
      </c>
      <c r="BU67" s="108" t="str">
        <f>IF(AND(F67="Hybrid - Thrust + 2 connections",OR(LEFT(J67,1)="T",LEFT(K67,1)="T",LEFT(L67,1)="T",LEFT(NG67,1)="T",LEFT(M67,1)="T",LEFT(N67,1)="T",LEFT(O67,1)="T",LEFT(P67,1)="T",LEFT(Q67,1)="T",LEFT(R67,1)="T",LEFT(S67,1)="T",LEFT(T67,1)="T",LEFT(U67,1)="T",LEFT(V67,1)="T",LEFT(W67,1)="T",LEFT(X67,1)="T",LEFT(AA67,1)="T",LEFT(AB67,1)="T",LEFT(AC67,1)="T")),IF(OR(LEN(J67)=2,LEN(K67)=2,LEN(L67)=2,LEN(M67)=2,LEN(N67)=2,LEN(O67)=2,LEN(P67)=2,LEN(Q67)=2,LEN(R67)=2,LEN(S67)=2,LEN(T67)=2,LEN(U67)=2,LEN(V67)=2,LEN(W67)=2,LEN(X67)=2,LEN(Y67)=2,LEN(Z67)=2,LEN(AA67)=2,LEN(AB67)=2,LEN(AC67)=2),"X",""),"")</f>
        <v/>
      </c>
      <c r="BW67" s="108" t="str">
        <f>IF(LEFT(F67,4)="Acro",IF(AND(N67&lt;&gt;"",M67=RIGHT(N67,2)),"X","OK"),"")</f>
        <v/>
      </c>
      <c r="BX67" s="110" t="str">
        <f t="shared" ref="BX67:CE67" si="2895">IFERROR(IF(AND(LEFT($F67,4)="Acro",INDEX(Requ_App,MATCH(AV67,Requ_Code,0))="No"),"X",""),"")</f>
        <v/>
      </c>
      <c r="BY67" s="110" t="str">
        <f t="shared" si="2895"/>
        <v/>
      </c>
      <c r="BZ67" s="110" t="str">
        <f t="shared" si="2895"/>
        <v/>
      </c>
      <c r="CA67" s="110" t="str">
        <f t="shared" si="2895"/>
        <v/>
      </c>
      <c r="CB67" s="110" t="str">
        <f t="shared" si="2895"/>
        <v/>
      </c>
      <c r="CC67" s="110" t="str">
        <f t="shared" si="2895"/>
        <v/>
      </c>
      <c r="CD67" s="110" t="str">
        <f t="shared" si="2895"/>
        <v/>
      </c>
      <c r="CE67" s="110" t="str">
        <f t="shared" si="2895"/>
        <v/>
      </c>
      <c r="CF67" s="110" t="str">
        <f>IFERROR(IF(AND(LEFT($F67,4)="Acro",INDEX(Requ_App,MATCH(BC67,Requ_Code,0))="No"),"X",""),"")</f>
        <v/>
      </c>
      <c r="CG67" s="108" t="str">
        <f t="shared" si="1891"/>
        <v/>
      </c>
      <c r="CH67" s="108" t="str">
        <f t="shared" si="1892"/>
        <v/>
      </c>
      <c r="CI67" s="108" t="str">
        <f t="shared" si="1893"/>
        <v/>
      </c>
      <c r="CJ67" s="108" t="str">
        <f t="shared" si="1894"/>
        <v/>
      </c>
      <c r="CN67" s="108">
        <f t="shared" ref="CN67" si="2896">IF(AND(E68="A",OR(Q67="Grip",Q67="Conn",Q67="Catch")),"A1",IF(AND(E68="A",OR(Q67="Hula",Q67="RetSq",Q67="RetPa")),"A2",IF(AND(E68="B",OR(Q67="Twirl",Q67="RotF")),"B1",IF(AND(E68="B",OR(Q67="Moon",Q67="Mov")),"B2",IF(AND(E68="B",Q67="Hold"),"B3",IF(AND(E68="P",OR(Q67="Porp",Q67="Spitch")),"P1",IF(AND(E68="P",OR(Q67="Dive",Q67="Ps1",Q67="Ps1t0.5",Q67="Ps1op",Q67="Ps1t0,5o",Q67="Ps1t1",Q67="CH+")),"P2",IF(AND(E68="P",OR(Q67="Spider",Q67="Climb")),"P3",IF(AND(E68="P",OR(Q67="Fall",Q67="FTurn")),"P4",IF(AND(E68="C",OR(Q67="Jump",Q67="Jump&gt;",Q67="On1Foot",Q67="1F&gt;1F")),"C1",IF(AND(E68="C",OR(Q67="Run",Q67="BRun")),"C2",1)))))))))))</f>
        <v>1</v>
      </c>
      <c r="CO67" s="108">
        <f t="shared" ref="CO67" si="2897">IF(AND(E68="A",OR(R67="Grip",R67="Conn",R67="Catch")),"A1",IF(AND(E68="A",OR(R67="Hula",R67="RetSq",R67="RetPa")),"A2",IF(AND(E68="B",OR(R67="Twirl",R67="RotF")),"B1",IF(AND(E68="B",OR(R67="Moon",R67="Mov")),"B3",IF(AND(E68="B",R67="Hold"),"B2",IF(AND(E68="P",OR(R67="Porp",R67="Spitch")),"P1",IF(AND(E68="P",OR(R67="Dive",R67="Ps1",R67="Ps1t0.5",R67="Ps1op",R67="Ps1t0,5o",R67="Ps1t1",R67="CH+")),"P2",IF(AND(E68="P",OR(R67="Spider",R67="Climb")),"P3",IF(AND(E68="P",OR(R67="Fall",R67="FTurn")),"P4",IF(AND(E68="C",OR(R67="Jump",R67="Jump&gt;",R67="On1Foot",R67="1F&gt;1F")),"C1",IF(AND(E68="C",OR(R67="Run",R67="BRun")),"C2",2)))))))))))</f>
        <v>2</v>
      </c>
      <c r="CP67" s="108" t="str">
        <f t="shared" ref="CP67" si="2898">IF(AND(LEFT(F67,4)="Acro",Q67&lt;&gt;"",OR(Q67=R67,CN67=CO67)),IF(R67="C-Roll","","X"),IF(OR(AND(E68="A",Q67="Catch",R67&lt;&gt;"Dbl"),AND(E68="A",R67="Catch",Q67&lt;&gt;"Dbl")),"X",""))</f>
        <v/>
      </c>
      <c r="CQ67" s="108" t="str">
        <f t="shared" ref="CQ67" si="2899">IF(E68="PA",J67,"")</f>
        <v/>
      </c>
      <c r="CR67" s="108">
        <v>49</v>
      </c>
      <c r="CT67" s="108" t="str">
        <f t="shared" ref="CT67" si="2900">IF(AND($E68="A",COUNTIF($DC$19:$DD$68,DC67)&gt;1),DC67,"")</f>
        <v/>
      </c>
      <c r="CU67" s="108" t="str">
        <f t="shared" ref="CU67" si="2901">IF(AND($E68="A",COUNTIF($DC$19:$DD$68,DD67)&gt;1),DD67,"")</f>
        <v/>
      </c>
      <c r="CV67" s="108" t="str">
        <f t="shared" ref="CV67" ca="1" si="2902">IF(AND($E68="B",COUNTIF($J$19:$J$68,J67)&gt;1),J67,"")</f>
        <v/>
      </c>
      <c r="CW67" s="108" t="str">
        <f t="shared" ref="CW67" ca="1" si="2903">IF(AND($E68="B",COUNTIF($K$19:$K$68,K67)&gt;1),K67,"")</f>
        <v/>
      </c>
      <c r="CX67" s="108" t="str">
        <f t="shared" ref="CX67" ca="1" si="2904">IF(AND($E68="C",COUNTIF($J$19:$J$68,J67)&gt;1),J67,"")</f>
        <v/>
      </c>
      <c r="CY67" s="108" t="str">
        <f t="shared" ref="CY67" ca="1" si="2905">IF(AND($E68="P",COUNTIF($J$19:$J$68,J67)&gt;1),J67,"")</f>
        <v/>
      </c>
      <c r="CZ67" s="108" t="str">
        <f t="shared" ref="CZ67" ca="1" si="2906">IF(AND($E68="P",COUNTIF($K$19:$K$68,K67)&gt;1),K67,"")</f>
        <v/>
      </c>
      <c r="DA67" s="108" t="str">
        <f t="shared" ref="DA67" si="2907">IF(AND($E68="P",COUNTIF($DC$19:$DD$68,DC67)&gt;1),DC67,"")</f>
        <v/>
      </c>
      <c r="DB67" s="108" t="str">
        <f t="shared" ref="DB67" si="2908">IF(AND($E68="P",COUNTIF($DC$19:$DD$68,DD67)&gt;1),DD67,"")</f>
        <v/>
      </c>
      <c r="DC67" s="108" t="str">
        <f t="shared" ref="DC67" si="2909">IFERROR(IF(OR(E68="A",E68="P"),M67,""),"")</f>
        <v/>
      </c>
      <c r="DD67" s="108" t="str">
        <f t="shared" ref="DD67" si="2910">IFERROR(IF(OR(E68="A",E68="P"),RIGHT(N67,2),""),"")</f>
        <v/>
      </c>
      <c r="DF67" s="108" t="str">
        <f t="shared" ref="DF67" si="2911">IF(AND($F$8="Open Team Acrobatic",LEFT(F67,4)="Acro"),E68,"")</f>
        <v/>
      </c>
      <c r="DG67" s="108" t="str">
        <f t="shared" ref="DG67" si="2912">IFERROR(IF(HLOOKUP(DF67,$DD$12:$DG$13,2,FALSE)&gt;2,"X",""),"")</f>
        <v/>
      </c>
      <c r="DI67" s="108" t="str">
        <f t="shared" ref="DI67" si="2913">IF(OR(AND(F67="Hybrid - Thrust + 2 connections",DI68="T"),AND(F67="Hybrid - Free",DI68&lt;&gt;"")),"X","")</f>
        <v/>
      </c>
      <c r="DK67" s="108">
        <f t="shared" ref="DK67" si="2914">IFERROR(IF(AND($E68="H",J67&lt;&gt;""),IF(OR(LEFT(J67,1)="T",LEFT(J67,1)="S",LEFT(J67,1)="A",LEFT(J67,1)="F",LEFT(J67,1)="C"),LEFT(J67,1),"R"),DK$18),"")</f>
        <v>1</v>
      </c>
      <c r="DL67" s="108">
        <f t="shared" ref="DL67" si="2915">IFERROR(IF(AND($E68="H",K67&lt;&gt;""),IF(OR(LEFT(K67,1)="T",LEFT(K67,1)="S",LEFT(K67,1)="A",LEFT(K67,1)="F",LEFT(K67,1)="C"),LEFT(K67,1),"R"),DL$18),"")</f>
        <v>2</v>
      </c>
      <c r="DM67" s="108">
        <f t="shared" ref="DM67" si="2916">IFERROR(IF(AND($E68="H",L67&lt;&gt;""),IF(OR(LEFT(L67,1)="T",LEFT(L67,1)="S",LEFT(L67,1)="A",LEFT(L67,1)="F",LEFT(L67,1)="C"),LEFT(L67,1),"R"),DM$18),"")</f>
        <v>3</v>
      </c>
      <c r="DN67" s="108">
        <f t="shared" ref="DN67" si="2917">IFERROR(IF(AND($E68="H",M67&lt;&gt;""),IF(OR(LEFT(M67,1)="T",LEFT(M67,1)="S",LEFT(M67,1)="A",LEFT(M67,1)="F",LEFT(M67,1)="C"),LEFT(M67,1),"R"),DN$18),"")</f>
        <v>4</v>
      </c>
      <c r="DO67" s="108">
        <f t="shared" ref="DO67" si="2918">IFERROR(IF(AND($E68="H",N67&lt;&gt;""),IF(OR(LEFT(N67,1)="T",LEFT(N67,1)="S",LEFT(N67,1)="A",LEFT(N67,1)="F",LEFT(N67,1)="C"),LEFT(N67,1),"R"),DO$18),"")</f>
        <v>5</v>
      </c>
      <c r="DP67" s="108">
        <f t="shared" ref="DP67" si="2919">IFERROR(IF(AND($E68="H",O67&lt;&gt;""),IF(OR(LEFT(O67,1)="T",LEFT(O67,1)="S",LEFT(O67,1)="A",LEFT(O67,1)="F",LEFT(O67,1)="C"),LEFT(O67,1),"R"),DP$18),"")</f>
        <v>6</v>
      </c>
      <c r="DQ67" s="108">
        <f t="shared" ref="DQ67" si="2920">IFERROR(IF(AND($E68="H",P67&lt;&gt;""),IF(OR(LEFT(P67,1)="T",LEFT(P67,1)="S",LEFT(P67,1)="A",LEFT(P67,1)="F",LEFT(P67,1)="C"),LEFT(P67,1),"R"),DQ$18),"")</f>
        <v>7</v>
      </c>
      <c r="DR67" s="108">
        <f t="shared" ref="DR67" si="2921">IFERROR(IF(AND($E68="H",Q67&lt;&gt;""),IF(OR(LEFT(Q67,1)="T",LEFT(Q67,1)="S",LEFT(Q67,1)="A",LEFT(Q67,1)="F",LEFT(Q67,1)="C"),LEFT(Q67,1),"R"),DR$18),"")</f>
        <v>8</v>
      </c>
      <c r="DS67" s="108">
        <f t="shared" ref="DS67" si="2922">IFERROR(IF(AND($E68="H",R67&lt;&gt;""),IF(OR(LEFT(R67,1)="T",LEFT(R67,1)="S",LEFT(R67,1)="A",LEFT(R67,1)="F",LEFT(R67,1)="C"),LEFT(R67,1),"R"),DS$18),"")</f>
        <v>9</v>
      </c>
      <c r="DT67" s="108">
        <f t="shared" ref="DT67" si="2923">IFERROR(IF(AND($E68="H",S67&lt;&gt;""),IF(OR(LEFT(S67,1)="T",LEFT(S67,1)="S",LEFT(S67,1)="A",LEFT(S67,1)="F",LEFT(S67,1)="C"),LEFT(S67,1),"R"),DT$18),"")</f>
        <v>10</v>
      </c>
      <c r="DU67" s="108">
        <f t="shared" ref="DU67" si="2924">IFERROR(IF(AND($E68="H",T67&lt;&gt;""),IF(OR(LEFT(T67,1)="T",LEFT(T67,1)="S",LEFT(T67,1)="A",LEFT(T67,1)="F",LEFT(T67,1)="C"),LEFT(T67,1),"R"),DU$18),"")</f>
        <v>11</v>
      </c>
      <c r="DV67" s="108">
        <f t="shared" ref="DV67" si="2925">IFERROR(IF(AND($E68="H",U67&lt;&gt;""),IF(OR(LEFT(U67,1)="T",LEFT(U67,1)="S",LEFT(U67,1)="A",LEFT(U67,1)="F",LEFT(U67,1)="C"),LEFT(U67,1),"R"),DV$18),"")</f>
        <v>12</v>
      </c>
      <c r="DW67" s="108">
        <f t="shared" ref="DW67" si="2926">IFERROR(IF(AND($E68="H",V67&lt;&gt;""),IF(OR(LEFT(V67,1)="T",LEFT(V67,1)="S",LEFT(V67,1)="A",LEFT(V67,1)="F",LEFT(V67,1)="C"),LEFT(V67,1),"R"),DW$18),"")</f>
        <v>13</v>
      </c>
      <c r="DX67" s="108">
        <f t="shared" ref="DX67" si="2927">IFERROR(IF(AND($E68="H",W67&lt;&gt;""),IF(OR(LEFT(W67,1)="T",LEFT(W67,1)="S",LEFT(W67,1)="A",LEFT(W67,1)="F",LEFT(W67,1)="C"),LEFT(W67,1),"R"),DX$18),"")</f>
        <v>14</v>
      </c>
      <c r="DY67" s="108">
        <f t="shared" ref="DY67" si="2928">IFERROR(IF(AND($E68="H",X67&lt;&gt;""),IF(OR(LEFT(X67,1)="T",LEFT(X67,1)="S",LEFT(X67,1)="A",LEFT(X67,1)="F",LEFT(X67,1)="C"),LEFT(X67,1),"R"),DY$18),"")</f>
        <v>15</v>
      </c>
      <c r="DZ67" s="108">
        <f t="shared" ref="DZ67" si="2929">IFERROR(IF(AND($E68="H",Y67&lt;&gt;""),IF(OR(LEFT(Y67,1)="T",LEFT(Y67,1)="S",LEFT(Y67,1)="A",LEFT(Y67,1)="F",LEFT(Y67,1)="C"),LEFT(Y67,1),"R"),DZ$18),"")</f>
        <v>16</v>
      </c>
      <c r="EA67" s="108">
        <f t="shared" ref="EA67" si="2930">IFERROR(IF(AND($E68="H",Z67&lt;&gt;""),IF(OR(LEFT(Z67,1)="T",LEFT(Z67,1)="S",LEFT(Z67,1)="A",LEFT(Z67,1)="F",LEFT(Z67,1)="C"),LEFT(Z67,1),"R"),EA$18),"")</f>
        <v>17</v>
      </c>
      <c r="EB67" s="108">
        <f t="shared" ref="EB67" si="2931">IFERROR(IF(AND($E68="H",AA67&lt;&gt;""),IF(OR(LEFT(AA67,1)="T",LEFT(AA67,1)="S",LEFT(AA67,1)="A",LEFT(AA67,1)="F",LEFT(AA67,1)="C"),LEFT(AA67,1),"R"),EB$18),"")</f>
        <v>18</v>
      </c>
      <c r="EC67" s="108">
        <f t="shared" ref="EC67" si="2932">IFERROR(IF(AND($E68="H",AB67&lt;&gt;""),IF(OR(LEFT(AB67,1)="T",LEFT(AB67,1)="S",LEFT(AB67,1)="A",LEFT(AB67,1)="F",LEFT(AB67,1)="C"),LEFT(AB67,1),"R"),EC$18),"")</f>
        <v>19</v>
      </c>
      <c r="ED67" s="108">
        <f t="shared" ref="ED67" si="2933">IFERROR(IF(AND($E68="H",AC67&lt;&gt;""),IF(OR(LEFT(AC67,1)="T",LEFT(AC67,1)="S",LEFT(AC67,1)="A",LEFT(AC67,1)="F",LEFT(AC67,1)="C"),LEFT(AC67,1),"R"),ED$18),"")</f>
        <v>20</v>
      </c>
      <c r="EE67" s="108"/>
      <c r="EF67" s="108"/>
      <c r="EG67" s="108">
        <f t="shared" ref="EG67:EZ67" si="2934">IFERROR(IF(J67&lt;&gt;"",UPPER(J67),EG$18),EG$18)</f>
        <v>1</v>
      </c>
      <c r="EH67" s="108">
        <f t="shared" si="2934"/>
        <v>2</v>
      </c>
      <c r="EI67" s="108">
        <f t="shared" si="2934"/>
        <v>3</v>
      </c>
      <c r="EJ67" s="108">
        <f t="shared" si="2934"/>
        <v>4</v>
      </c>
      <c r="EK67" s="108">
        <f t="shared" si="2934"/>
        <v>5</v>
      </c>
      <c r="EL67" s="108">
        <f t="shared" si="2934"/>
        <v>6</v>
      </c>
      <c r="EM67" s="108">
        <f t="shared" si="2934"/>
        <v>7</v>
      </c>
      <c r="EN67" s="108">
        <f t="shared" si="2934"/>
        <v>8</v>
      </c>
      <c r="EO67" s="108">
        <f t="shared" si="2934"/>
        <v>9</v>
      </c>
      <c r="EP67" s="108">
        <f t="shared" si="2934"/>
        <v>10</v>
      </c>
      <c r="EQ67" s="108">
        <f t="shared" si="2934"/>
        <v>11</v>
      </c>
      <c r="ER67" s="108">
        <f t="shared" si="2934"/>
        <v>12</v>
      </c>
      <c r="ES67" s="108">
        <f t="shared" si="2934"/>
        <v>13</v>
      </c>
      <c r="ET67" s="108">
        <f t="shared" si="2934"/>
        <v>14</v>
      </c>
      <c r="EU67" s="108">
        <f t="shared" si="2934"/>
        <v>15</v>
      </c>
      <c r="EV67" s="108">
        <f t="shared" si="2934"/>
        <v>16</v>
      </c>
      <c r="EW67" s="108">
        <f t="shared" si="2934"/>
        <v>17</v>
      </c>
      <c r="EX67" s="108">
        <f t="shared" si="2934"/>
        <v>18</v>
      </c>
      <c r="EY67" s="108">
        <f t="shared" si="2934"/>
        <v>19</v>
      </c>
      <c r="EZ67" s="108">
        <f t="shared" si="2934"/>
        <v>20</v>
      </c>
      <c r="FA67" s="108"/>
      <c r="FB67" s="108">
        <f t="shared" ref="FB67" si="2935">COUNTIF($DK67:$ED67,FB$18)</f>
        <v>0</v>
      </c>
      <c r="FC67" s="108">
        <f t="shared" si="934"/>
        <v>0</v>
      </c>
      <c r="FD67" s="108">
        <f t="shared" si="934"/>
        <v>0</v>
      </c>
      <c r="FE67" s="108">
        <f t="shared" si="934"/>
        <v>0</v>
      </c>
      <c r="FF67" s="108">
        <f t="shared" si="934"/>
        <v>0</v>
      </c>
      <c r="FG67" s="108">
        <f t="shared" si="934"/>
        <v>0</v>
      </c>
      <c r="FH67" s="108"/>
      <c r="FI67" s="108" t="str">
        <f t="shared" ref="FI67" si="2936">IF(AND($F67="Hybrid - Thrust + 2 connections",FI68=0,LEFT($J67,1)="C",LEFT($K67,1)="C",LEFT($L67,1)="C"),"X","")</f>
        <v/>
      </c>
      <c r="FJ67" s="108"/>
      <c r="FL67" s="120" t="e">
        <f>IF(OR(LEFT(#REF!,2)="PL",LEFT(#REF!,2)="PL",LEFT(#REF!,2)="PL",LEFT(#REF!,2)="PL",LEFT(#REF!,2)="PL"),IF($BS$17-BR67&gt;$FL$17,"X",""),"")</f>
        <v>#REF!</v>
      </c>
      <c r="FM67" s="120"/>
      <c r="FN67" s="111" t="str">
        <f>IF(E68=3,_xlfn.NUMBERVALUE(LEFT(J67,1)),"")</f>
        <v/>
      </c>
    </row>
    <row r="68" spans="1:178" ht="13.8" thickBot="1" x14ac:dyDescent="0.35">
      <c r="A68" s="45"/>
      <c r="B68" s="46"/>
      <c r="C68" s="46"/>
      <c r="D68" s="46"/>
      <c r="E68" s="217" t="str">
        <f t="shared" ref="E68" si="2937">IF(F67="Acrobatic - Pair","PA",IF(F67="Acrobatic Airborn","A",IF(F67="Acrobatic Balance","B",IF(F67="Acrobatic Combined","C",IF(F67="Acrobatic Platform","P",IF(F67="Technical Required Element",3,IF(LEFT(F67,4)="Hybr","H","")))))))</f>
        <v/>
      </c>
      <c r="F68" s="240" t="str">
        <f t="shared" ref="F68" si="2938">IF(AND(F67="Hybrid - Thrust + 2 connections",BU67="X"),"Hybrid - Thrust",IF(OR(E68="A",E68="B",E68="C",E68="P"),"Acrobatic",""))</f>
        <v/>
      </c>
      <c r="G68" s="218"/>
      <c r="H68" s="223" t="str">
        <f t="shared" ref="H68" si="2939">IF(E68="PA",IF(OR(LEFT(J67,1)="L",LEFT(J67,1)="S"),"A-Pair-Lift",IF(OR(LEFT(J67,1)="W",LEFT(J67,1)="T"),"A-Pair-Throw",IF(LEFT(J67,1)="J","A-Pair-Jump","A-Pair"))),IF(OR(E68="A",E68="B",E68="C",E68="P"),CONCATENATE("Acro-",E68),""))</f>
        <v/>
      </c>
      <c r="I68" s="219" t="e">
        <f t="shared" ref="I68" si="2940">IF(OR(F67="Hybrid - min 4 swimmers (no DD)",LEFT(F67,5)="Trans"),0,INDEX($BV$3:$BV$9,MATCH(E68,$BU$3:$BU$9,0)))</f>
        <v>#N/A</v>
      </c>
      <c r="J68" s="231">
        <f t="shared" ref="J68" ca="1" si="2941">IFERROR(IF($H67="No DD",0,IF(OR(ISBLANK(J67),J67="N/A"),0,INDEX(INDIRECT(AV68),MATCH(J67,INDIRECT(AV67),0)))),0)</f>
        <v>0</v>
      </c>
      <c r="K68" s="220">
        <f t="shared" ref="K68" ca="1" si="2942">IFERROR(IF($H67="No DD",0,IF(OR(ISBLANK(K67),K67="N/A"),0,INDEX(INDIRECT(AW68),MATCH(K67,INDIRECT(AW67),0)))),0)</f>
        <v>0</v>
      </c>
      <c r="L68" s="220">
        <f t="shared" ref="L68" ca="1" si="2943">IFERROR(IF($H67="No DD",0,IF(OR(ISBLANK(L67),L67="N/A"),0,INDEX(INDIRECT(AX68),MATCH(L67,INDIRECT(AX67),0)))),0)</f>
        <v>0</v>
      </c>
      <c r="M68" s="220">
        <f t="shared" ref="M68" ca="1" si="2944">IFERROR(IF($H67="No DD",0,IF(OR(ISBLANK(M67),M67="N/A"),0,INDEX(INDIRECT(AY68),MATCH(M67,INDIRECT(AY67),0)))),0)</f>
        <v>0</v>
      </c>
      <c r="N68" s="220">
        <f t="shared" ref="N68" ca="1" si="2945">IFERROR(IF($H67="No DD",0,IF(OR(ISBLANK(N67),N67="N/A"),0,INDEX(INDIRECT(AZ68),MATCH(N67,INDIRECT(AZ67),0)))),0)</f>
        <v>0</v>
      </c>
      <c r="O68" s="220">
        <f t="shared" ref="O68" ca="1" si="2946">IFERROR(IF($H67="No DD",0,IF(OR(ISBLANK(O67),O67="N/A"),0,INDEX(INDIRECT(BA68),MATCH(O67,INDIRECT(BA67),0)))),0)</f>
        <v>0</v>
      </c>
      <c r="P68" s="220">
        <f t="shared" ref="P68" ca="1" si="2947">IFERROR(IF($H67="No DD",0,IF(OR(ISBLANK(P67),P67="N/A"),0,INDEX(INDIRECT(BB68),MATCH(P67,INDIRECT(BB67),0)))),0)</f>
        <v>0</v>
      </c>
      <c r="Q68" s="220">
        <f t="shared" ref="Q68" ca="1" si="2948">IFERROR(IF($H67="No DD",0,IF(OR(ISBLANK(Q67),Q67="N/A"),0,INDEX(INDIRECT(BC68),MATCH(Q67,INDIRECT(BC67),0)))),0)</f>
        <v>0</v>
      </c>
      <c r="R68" s="220">
        <f t="shared" ref="R68" ca="1" si="2949">IFERROR(IF($H67="No DD",0,IF(OR(ISBLANK(R67),R67="N/A"),0,INDEX(INDIRECT(BD68),MATCH(R67,INDIRECT(BD67),0)))),0)</f>
        <v>0</v>
      </c>
      <c r="S68" s="220">
        <f t="shared" ref="S68" ca="1" si="2950">IFERROR(IF($H67="No DD",0,IF(OR(ISBLANK(S67),S67="N/A"),0,INDEX(INDIRECT(BE68),MATCH(S67,INDIRECT(BE67),0)))),0)</f>
        <v>0</v>
      </c>
      <c r="T68" s="220">
        <f t="shared" ref="T68" ca="1" si="2951">IFERROR(IF($H67="No DD",0,IF(OR(ISBLANK(T67),T67="N/A"),0,INDEX(INDIRECT(BF68),MATCH(T67,INDIRECT(BF67),0)))),0)</f>
        <v>0</v>
      </c>
      <c r="U68" s="220">
        <f t="shared" ref="U68" ca="1" si="2952">IFERROR(IF($H67="No DD",0,IF(OR(ISBLANK(U67),U67="N/A"),0,INDEX(INDIRECT(BG68),MATCH(U67,INDIRECT(BG67),0)))),0)</f>
        <v>0</v>
      </c>
      <c r="V68" s="220">
        <f t="shared" ref="V68" ca="1" si="2953">IFERROR(IF($H67="No DD",0,IF(OR(ISBLANK(V67),V67="N/A"),0,INDEX(INDIRECT(BH68),MATCH(V67,INDIRECT(BH67),0)))),0)</f>
        <v>0</v>
      </c>
      <c r="W68" s="220">
        <f t="shared" ref="W68" ca="1" si="2954">IFERROR(IF($H67="No DD",0,IF(OR(ISBLANK(W67),W67="N/A"),0,INDEX(INDIRECT(BI68),MATCH(W67,INDIRECT(BI67),0)))),0)</f>
        <v>0</v>
      </c>
      <c r="X68" s="220">
        <f t="shared" ref="X68" ca="1" si="2955">IFERROR(IF($H67="No DD",0,IF(OR(ISBLANK(X67),X67="N/A"),0,INDEX(INDIRECT(BJ68),MATCH(X67,INDIRECT(BJ67),0)))),0)</f>
        <v>0</v>
      </c>
      <c r="Y68" s="220">
        <f t="shared" ref="Y68" ca="1" si="2956">IFERROR(IF($H67="No DD",0,IF(OR(ISBLANK(Y67),Y67="N/A"),0,INDEX(INDIRECT(BK68),MATCH(Y67,INDIRECT(BK67),0)))),0)</f>
        <v>0</v>
      </c>
      <c r="Z68" s="220">
        <f t="shared" ref="Z68" ca="1" si="2957">IFERROR(IF($H67="No DD",0,IF(OR(ISBLANK(Z67),Z67="N/A"),0,INDEX(INDIRECT(BL68),MATCH(Z67,INDIRECT(BL67),0)))),0)</f>
        <v>0</v>
      </c>
      <c r="AA68" s="220">
        <f t="shared" ref="AA68" ca="1" si="2958">IFERROR(IF($H67="No DD",0,IF(OR(ISBLANK(AA67),AA67="N/A"),0,INDEX(INDIRECT(BM68),MATCH(AA67,INDIRECT(BM67),0)))),0)</f>
        <v>0</v>
      </c>
      <c r="AB68" s="220">
        <f t="shared" ref="AB68" ca="1" si="2959">IFERROR(IF($H67="No DD",0,IF(OR(ISBLANK(AB67),AB67="N/A"),0,INDEX(INDIRECT(BN68),MATCH(AB67,INDIRECT(BN67),0)))),0)</f>
        <v>0</v>
      </c>
      <c r="AC68" s="220">
        <f t="shared" ref="AC68" ca="1" si="2960">IFERROR(IF($H67="No DD",0,IF(OR(ISBLANK(AC67),AC67="N/A"),0,INDEX(INDIRECT(BO68),MATCH(AC67,INDIRECT(BO67),0)))),0)</f>
        <v>0</v>
      </c>
      <c r="AD68" s="221" t="str">
        <f>IFERROR(IF(E68="H",INDEX(HybridBonus_Value,MATCH(AD67,HybridBonus_Code,0)),""),"")</f>
        <v/>
      </c>
      <c r="AE68" s="246" t="str">
        <f t="shared" ref="AE68" si="2961">IFERROR(IF(J67&lt;&gt;"",SUM(I68:AD68),""),"")</f>
        <v/>
      </c>
      <c r="AF68" s="76"/>
      <c r="AG68" s="76"/>
      <c r="AH68" s="121"/>
      <c r="AI68" s="121"/>
      <c r="AJ68" s="121"/>
      <c r="AK68" s="121"/>
      <c r="AL68" s="121"/>
      <c r="AM68" s="121"/>
      <c r="AN68" s="121"/>
      <c r="AO68" s="121"/>
      <c r="AP68" s="121"/>
      <c r="AQ68" s="121"/>
      <c r="AR68" s="121"/>
      <c r="AS68" s="121"/>
      <c r="AT68" s="110"/>
      <c r="AU68" s="121"/>
      <c r="AV68" s="111" t="str">
        <f t="shared" ref="AV68" si="2962">IF($E68="H","HybridDD_Value",IF($E68=3,"TreDD_Value",IF($E68="PA","AcroPair_Value",IF(LEFT($F67,4)="Acro",CONCATENATE(AV$16,$E68,"_Value"),""))))</f>
        <v/>
      </c>
      <c r="AW68" s="111" t="str">
        <f t="shared" ref="AW68:AX68" si="2963">IF($E68="H","HybridDD_Value",IF($E68=3,"",IF(LEFT($F67,4)="Acro",CONCATENATE(AW$16,$E68,"_Value"),IF($E68="PA","",""))))</f>
        <v/>
      </c>
      <c r="AX68" s="111" t="str">
        <f t="shared" si="2963"/>
        <v/>
      </c>
      <c r="AY68" s="111" t="str">
        <f t="shared" ref="AY68:BD68" si="2964">IF($E68="H","HybridDD_Value",IF($E68=3,"",IF(LEFT($F67,4)="Acro",CONCATENATE(AY$16,$E68,"_Value"),IF($E68="PA","",""))))</f>
        <v/>
      </c>
      <c r="AZ68" s="111" t="str">
        <f t="shared" si="2964"/>
        <v/>
      </c>
      <c r="BA68" s="111" t="str">
        <f t="shared" si="2964"/>
        <v/>
      </c>
      <c r="BB68" s="111" t="str">
        <f t="shared" si="2964"/>
        <v/>
      </c>
      <c r="BC68" s="111" t="str">
        <f t="shared" si="2964"/>
        <v/>
      </c>
      <c r="BD68" s="111" t="str">
        <f t="shared" si="2964"/>
        <v/>
      </c>
      <c r="BE68" s="110" t="str">
        <f t="shared" ref="BE68" si="2965">IF($E68="H","HybridDD_Value","Data!$BI$1:$BI$5")</f>
        <v>Data!$BI$1:$BI$5</v>
      </c>
      <c r="BF68" s="110" t="str">
        <f t="shared" si="2392"/>
        <v>Data!$BI$1:$BI$5</v>
      </c>
      <c r="BG68" s="110" t="str">
        <f t="shared" si="2392"/>
        <v>Data!$BI$1:$BI$5</v>
      </c>
      <c r="BH68" s="110" t="str">
        <f t="shared" si="2392"/>
        <v>Data!$BI$1:$BI$5</v>
      </c>
      <c r="BI68" s="110" t="str">
        <f t="shared" si="2392"/>
        <v>Data!$BI$1:$BI$5</v>
      </c>
      <c r="BJ68" s="110" t="str">
        <f t="shared" si="2392"/>
        <v>Data!$BI$1:$BI$5</v>
      </c>
      <c r="BK68" s="110" t="str">
        <f t="shared" si="2392"/>
        <v>Data!$BI$1:$BI$5</v>
      </c>
      <c r="BL68" s="110" t="str">
        <f t="shared" si="2392"/>
        <v>Data!$BI$1:$BI$5</v>
      </c>
      <c r="BM68" s="110" t="str">
        <f t="shared" si="2392"/>
        <v>Data!$BI$1:$BI$5</v>
      </c>
      <c r="BN68" s="110" t="str">
        <f t="shared" si="2392"/>
        <v>Data!$BI$1:$BI$5</v>
      </c>
      <c r="BO68" s="110" t="str">
        <f t="shared" si="2392"/>
        <v>Data!$BI$1:$BI$5</v>
      </c>
      <c r="BP68" s="121"/>
      <c r="BQ68" s="121"/>
      <c r="BR68" s="122" t="str">
        <f>IFERROR(IF(AND($BS$6="T",$BS$8="T",LEFT(F67,4)="Acro",AE68&gt;3),"X",IF($N$7="X",IF(AND(E68="C",AE68&gt;$CA$6),"X",IF(AND(E68="A",AE68&gt;$CA$4),"X",IF(AND(E68="B",AE68&gt;$CA$5),"X",IF(AND(E68="P",AE68&gt;$CA$7),"X","")))),"")),"")</f>
        <v/>
      </c>
      <c r="BS68" s="113"/>
      <c r="BU68" s="108"/>
      <c r="CA68" s="111"/>
      <c r="CB68" s="111"/>
      <c r="CC68" s="111"/>
      <c r="CG68" s="108" t="str">
        <f t="shared" si="1891"/>
        <v/>
      </c>
      <c r="CH68" s="108" t="str">
        <f t="shared" si="1892"/>
        <v/>
      </c>
      <c r="CI68" s="108" t="str">
        <f t="shared" si="1893"/>
        <v/>
      </c>
      <c r="CJ68" s="108" t="str">
        <f t="shared" si="1894"/>
        <v/>
      </c>
      <c r="CR68" s="108">
        <v>50</v>
      </c>
      <c r="DI68" s="108" t="str" cm="1">
        <f t="array" ref="DI68">IFERROR(INDEX(DK68:ED68,MATCH(TRUE,INDEX((DK68:ED68&lt;&gt;""),),0)),"")</f>
        <v/>
      </c>
      <c r="DK68" s="108" t="str">
        <f t="shared" ref="DK68" si="2966">IF(F67="Hybrid - Thrust + 2 connections",IF(COUNTIF($DK67:$ED67,DK67)&gt;1,DK67,""),IF(COUNTIF($DK67:$ED67,DK67)&gt;5,DK67,""))</f>
        <v/>
      </c>
      <c r="DL68" s="108" t="str">
        <f t="shared" ref="DL68" si="2967">IF(G67="Hybrid - Thrust + 2 connections",IF(COUNTIF($DK67:$ED67,DL67)&gt;1,DL67,""),IF(COUNTIF($DK67:$ED67,DL67)&gt;5,DL67,""))</f>
        <v/>
      </c>
      <c r="DM68" s="108" t="str">
        <f t="shared" ref="DM68" si="2968">IF(H67="Hybrid - Thrust + 2 connections",IF(COUNTIF($DK67:$ED67,DM67)&gt;1,DM67,""),IF(COUNTIF($DK67:$ED67,DM67)&gt;5,DM67,""))</f>
        <v/>
      </c>
      <c r="DN68" s="108" t="str">
        <f t="shared" ref="DN68" si="2969">IF(I67="Hybrid - Thrust + 2 connections",IF(COUNTIF($DK67:$ED67,DN67)&gt;1,DN67,""),IF(COUNTIF($DK67:$ED67,DN67)&gt;5,DN67,""))</f>
        <v/>
      </c>
      <c r="DO68" s="108" t="str">
        <f t="shared" ref="DO68" si="2970">IF(J67="Hybrid - Thrust + 2 connections",IF(COUNTIF($DK67:$ED67,DO67)&gt;1,DO67,""),IF(COUNTIF($DK67:$ED67,DO67)&gt;5,DO67,""))</f>
        <v/>
      </c>
      <c r="DP68" s="108" t="str">
        <f t="shared" ref="DP68" si="2971">IF(K67="Hybrid - Thrust + 2 connections",IF(COUNTIF($DK67:$ED67,DP67)&gt;1,DP67,""),IF(COUNTIF($DK67:$ED67,DP67)&gt;5,DP67,""))</f>
        <v/>
      </c>
      <c r="DQ68" s="108" t="str">
        <f t="shared" ref="DQ68" si="2972">IF(L67="Hybrid - Thrust + 2 connections",IF(COUNTIF($DK67:$ED67,DQ67)&gt;1,DQ67,""),IF(COUNTIF($DK67:$ED67,DQ67)&gt;5,DQ67,""))</f>
        <v/>
      </c>
      <c r="DR68" s="108" t="str">
        <f t="shared" ref="DR68" si="2973">IF(M67="Hybrid - Thrust + 2 connections",IF(COUNTIF($DK67:$ED67,DR67)&gt;1,DR67,""),IF(COUNTIF($DK67:$ED67,DR67)&gt;5,DR67,""))</f>
        <v/>
      </c>
      <c r="DS68" s="108" t="str">
        <f t="shared" ref="DS68" si="2974">IF(N67="Hybrid - Thrust + 2 connections",IF(COUNTIF($DK67:$ED67,DS67)&gt;1,DS67,""),IF(COUNTIF($DK67:$ED67,DS67)&gt;5,DS67,""))</f>
        <v/>
      </c>
      <c r="DT68" s="108" t="str">
        <f t="shared" ref="DT68" si="2975">IF(O67="Hybrid - Thrust + 2 connections",IF(COUNTIF($DK67:$ED67,DT67)&gt;1,DT67,""),IF(COUNTIF($DK67:$ED67,DT67)&gt;5,DT67,""))</f>
        <v/>
      </c>
      <c r="DU68" s="108" t="str">
        <f t="shared" ref="DU68" si="2976">IF(P67="Hybrid - Thrust + 2 connections",IF(COUNTIF($DK67:$ED67,DU67)&gt;1,DU67,""),IF(COUNTIF($DK67:$ED67,DU67)&gt;5,DU67,""))</f>
        <v/>
      </c>
      <c r="DV68" s="108" t="str">
        <f t="shared" ref="DV68" si="2977">IF(Q67="Hybrid - Thrust + 2 connections",IF(COUNTIF($DK67:$ED67,DV67)&gt;1,DV67,""),IF(COUNTIF($DK67:$ED67,DV67)&gt;5,DV67,""))</f>
        <v/>
      </c>
      <c r="DW68" s="108" t="str">
        <f t="shared" ref="DW68" si="2978">IF(R67="Hybrid - Thrust + 2 connections",IF(COUNTIF($DK67:$ED67,DW67)&gt;1,DW67,""),IF(COUNTIF($DK67:$ED67,DW67)&gt;5,DW67,""))</f>
        <v/>
      </c>
      <c r="DX68" s="108" t="str">
        <f t="shared" ref="DX68" si="2979">IF(S67="Hybrid - Thrust + 2 connections",IF(COUNTIF($DK67:$ED67,DX67)&gt;1,DX67,""),IF(COUNTIF($DK67:$ED67,DX67)&gt;5,DX67,""))</f>
        <v/>
      </c>
      <c r="DY68" s="108" t="str">
        <f t="shared" ref="DY68" si="2980">IF(T67="Hybrid - Thrust + 2 connections",IF(COUNTIF($DK67:$ED67,DY67)&gt;1,DY67,""),IF(COUNTIF($DK67:$ED67,DY67)&gt;5,DY67,""))</f>
        <v/>
      </c>
      <c r="DZ68" s="108" t="str">
        <f t="shared" ref="DZ68" si="2981">IF(U67="Hybrid - Thrust + 2 connections",IF(COUNTIF($DK67:$ED67,DZ67)&gt;1,DZ67,""),IF(COUNTIF($DK67:$ED67,DZ67)&gt;5,DZ67,""))</f>
        <v/>
      </c>
      <c r="EA68" s="108" t="str">
        <f t="shared" ref="EA68" si="2982">IF(V67="Hybrid - Thrust + 2 connections",IF(COUNTIF($DK67:$ED67,EA67)&gt;1,EA67,""),IF(COUNTIF($DK67:$ED67,EA67)&gt;5,EA67,""))</f>
        <v/>
      </c>
      <c r="EB68" s="108" t="str">
        <f t="shared" ref="EB68" si="2983">IF(W67="Hybrid - Thrust + 2 connections",IF(COUNTIF($DK67:$ED67,EB67)&gt;1,EB67,""),IF(COUNTIF($DK67:$ED67,EB67)&gt;5,EB67,""))</f>
        <v/>
      </c>
      <c r="EC68" s="108" t="str">
        <f t="shared" ref="EC68" si="2984">IF(X67="Hybrid - Thrust + 2 connections",IF(COUNTIF($DK67:$ED67,EC67)&gt;1,EC67,""),IF(COUNTIF($DK67:$ED67,EC67)&gt;5,EC67,""))</f>
        <v/>
      </c>
      <c r="ED68" s="108" t="str">
        <f t="shared" ref="ED68" si="2985">IF(Y67="Hybrid - Thrust + 2 connections",IF(COUNTIF($DK67:$ED67,ED67)&gt;1,ED67,""),IF(COUNTIF($DK67:$ED67,ED67)&gt;5,ED67,""))</f>
        <v/>
      </c>
      <c r="EE68" s="108"/>
      <c r="EF68" s="108" t="str" cm="1">
        <f t="array" ref="EF68">IFERROR(INDEX(EG68:EZ68,MATCH(TRUE,INDEX((EG68:EZ68&lt;&gt;""),),0)),"")</f>
        <v/>
      </c>
      <c r="EG68" s="108" t="str">
        <f t="shared" ref="EG68:EZ68" si="2986">IF(COUNTIF($EG67:$EZ67,EG67)&gt;3,EG67,"")</f>
        <v/>
      </c>
      <c r="EH68" s="108" t="str">
        <f t="shared" si="2986"/>
        <v/>
      </c>
      <c r="EI68" s="108" t="str">
        <f t="shared" si="2986"/>
        <v/>
      </c>
      <c r="EJ68" s="108" t="str">
        <f t="shared" si="2986"/>
        <v/>
      </c>
      <c r="EK68" s="108" t="str">
        <f t="shared" si="2986"/>
        <v/>
      </c>
      <c r="EL68" s="108" t="str">
        <f t="shared" si="2986"/>
        <v/>
      </c>
      <c r="EM68" s="108" t="str">
        <f t="shared" si="2986"/>
        <v/>
      </c>
      <c r="EN68" s="108" t="str">
        <f t="shared" si="2986"/>
        <v/>
      </c>
      <c r="EO68" s="108" t="str">
        <f t="shared" si="2986"/>
        <v/>
      </c>
      <c r="EP68" s="108" t="str">
        <f t="shared" si="2986"/>
        <v/>
      </c>
      <c r="EQ68" s="108" t="str">
        <f t="shared" si="2986"/>
        <v/>
      </c>
      <c r="ER68" s="108" t="str">
        <f t="shared" si="2986"/>
        <v/>
      </c>
      <c r="ES68" s="108" t="str">
        <f t="shared" si="2986"/>
        <v/>
      </c>
      <c r="ET68" s="108" t="str">
        <f t="shared" si="2986"/>
        <v/>
      </c>
      <c r="EU68" s="108" t="str">
        <f t="shared" si="2986"/>
        <v/>
      </c>
      <c r="EV68" s="108" t="str">
        <f t="shared" si="2986"/>
        <v/>
      </c>
      <c r="EW68" s="108" t="str">
        <f t="shared" si="2986"/>
        <v/>
      </c>
      <c r="EX68" s="108" t="str">
        <f t="shared" si="2986"/>
        <v/>
      </c>
      <c r="EY68" s="108" t="str">
        <f t="shared" si="2986"/>
        <v/>
      </c>
      <c r="EZ68" s="108" t="str">
        <f t="shared" si="2986"/>
        <v/>
      </c>
      <c r="FA68" s="108"/>
      <c r="FB68" s="108"/>
      <c r="FC68" s="108"/>
      <c r="FD68" s="108"/>
      <c r="FE68" s="108"/>
      <c r="FF68" s="108"/>
      <c r="FG68" s="108"/>
      <c r="FH68" s="108"/>
      <c r="FI68" s="108" t="str">
        <f t="shared" ref="FI68" si="2987">IF($F67="Hybrid - Thrust + 2 connections",COUNTBLANK(J67:L67),"")</f>
        <v/>
      </c>
      <c r="FJ68" s="108"/>
      <c r="FN68" s="111"/>
    </row>
    <row r="69" spans="1:178" s="49" customFormat="1" ht="12.75" hidden="1" x14ac:dyDescent="0.25">
      <c r="A69" s="47" t="str">
        <f>IF(AND(E67="",A67&lt;&gt;""),IF(BS67=$BS$18,"",IF(C67&lt;&gt;"",MINUTE(BS67),"")),"")</f>
        <v/>
      </c>
      <c r="B69" s="47" t="str">
        <f>IF(AND(E67="",B67&lt;&gt;""),IF(BS67=$BS$18,"",IF(C67&lt;&gt;"",SECOND(BS67)+1,"")),"")</f>
        <v/>
      </c>
      <c r="C69" s="51"/>
      <c r="D69" s="51"/>
      <c r="E69" s="9"/>
      <c r="F69" s="48"/>
      <c r="G69" s="43" t="str">
        <f>IF(F69&lt;&gt;"",IF(OR(F69="Transition",F69="Connected Surface Movment",F69="Cadense"),0,MAX($G$19:G68)+1),"")</f>
        <v/>
      </c>
      <c r="H69" s="57" t="str">
        <f t="shared" ref="H69" si="2988">IFERROR(IF(OR(F69="Hybrid - min 4 swimmers (no DD)",LEFT(F69,5)="Trans"),"No DD",CONCATENATE("BM = ",I70)),"")</f>
        <v xml:space="preserve">BM = </v>
      </c>
      <c r="I69" s="58"/>
      <c r="J69" s="130" t="s">
        <v>485</v>
      </c>
      <c r="K69" s="137" t="s">
        <v>492</v>
      </c>
      <c r="L69" s="130" t="s">
        <v>1377</v>
      </c>
      <c r="M69" s="130" t="s">
        <v>1377</v>
      </c>
      <c r="N69" s="136"/>
      <c r="O69" s="130" t="s">
        <v>1377</v>
      </c>
      <c r="P69" s="130" t="s">
        <v>1377</v>
      </c>
      <c r="Q69" s="130" t="s">
        <v>64</v>
      </c>
      <c r="R69" s="130" t="s">
        <v>1378</v>
      </c>
      <c r="S69" s="130" t="s">
        <v>438</v>
      </c>
      <c r="T69" s="130" t="s">
        <v>440</v>
      </c>
      <c r="U69" s="130" t="s">
        <v>1379</v>
      </c>
      <c r="V69" s="130" t="s">
        <v>1380</v>
      </c>
      <c r="W69" s="130" t="s">
        <v>1383</v>
      </c>
      <c r="X69" s="130" t="s">
        <v>1381</v>
      </c>
      <c r="Y69" s="130" t="s">
        <v>1381</v>
      </c>
      <c r="Z69" s="130" t="s">
        <v>1381</v>
      </c>
      <c r="AA69" s="130" t="s">
        <v>1382</v>
      </c>
      <c r="AB69" s="130" t="s">
        <v>449</v>
      </c>
      <c r="AC69" s="130" t="s">
        <v>451</v>
      </c>
      <c r="AD69" s="44"/>
      <c r="AE69" s="12"/>
      <c r="AG69" s="111"/>
      <c r="AH69" s="111"/>
      <c r="AI69" s="123"/>
      <c r="AJ69" s="123"/>
      <c r="AK69" s="123"/>
      <c r="AL69" s="123"/>
      <c r="AM69" s="123"/>
      <c r="AN69" s="123"/>
      <c r="AO69" s="123"/>
      <c r="AP69" s="123"/>
      <c r="AQ69" s="123"/>
      <c r="AR69" s="123"/>
      <c r="AS69" s="123"/>
      <c r="AT69" s="123"/>
      <c r="AU69" s="123"/>
      <c r="AV69" s="123"/>
      <c r="AW69" s="123"/>
      <c r="AX69" s="123"/>
      <c r="AY69" s="123"/>
      <c r="AZ69" s="123"/>
      <c r="BA69" s="123"/>
      <c r="BB69" s="123"/>
      <c r="BC69" s="123"/>
      <c r="BD69" s="123"/>
      <c r="BE69" s="123"/>
      <c r="BF69" s="123"/>
      <c r="BG69" s="123"/>
      <c r="BH69" s="123"/>
      <c r="BI69" s="123"/>
      <c r="BJ69" s="123"/>
      <c r="BK69" s="123"/>
      <c r="BL69" s="123"/>
      <c r="BM69" s="123"/>
      <c r="BN69" s="123"/>
      <c r="BO69" s="123"/>
      <c r="BP69" s="123"/>
      <c r="BQ69" s="123"/>
      <c r="BR69" s="123"/>
      <c r="BS69" s="123"/>
      <c r="BT69" s="123"/>
      <c r="BU69" s="123"/>
      <c r="BV69" s="111">
        <f>COUNTIF(CC69:DZ69,"=T1")+COUNTIF(CC69:DZ69,"=T2")+COUNTIF(CC69:DZ69,"=T3")+COUNTIF(CC69:DZ69,"=T4")</f>
        <v>0</v>
      </c>
      <c r="BW69" s="111"/>
      <c r="BX69" s="111">
        <f>COUNTIF(CC69:DZ69,"=r1")+COUNTIF(CC69:DZ69,"=r2")+COUNTIF(CC69:DZ69,"=r3")+COUNTIF(CC69:DZ69,"=r4")</f>
        <v>0</v>
      </c>
      <c r="BY69" s="111"/>
      <c r="BZ69" s="111">
        <f>COUNTIF(CC69:DZ69,"=A")</f>
        <v>0</v>
      </c>
      <c r="CA69" s="111">
        <f>COUNTIF(CC69:DZ69,"=F")</f>
        <v>0</v>
      </c>
      <c r="CB69" s="111">
        <f>COUNTIF(CC69:DZ69,"=C")</f>
        <v>0</v>
      </c>
      <c r="CC69" s="108" t="str">
        <f t="shared" ref="CC69:CN69" si="2989">IF($E70="H",IF(OR(LEFT(J69,1)="T",LEFT(J69,1)="R"),LEFT(J69,2),LEFT(J69,1)),"")</f>
        <v/>
      </c>
      <c r="CD69" s="108" t="str">
        <f t="shared" si="2989"/>
        <v/>
      </c>
      <c r="CE69" s="108" t="str">
        <f t="shared" si="2989"/>
        <v/>
      </c>
      <c r="CF69" s="108" t="str">
        <f t="shared" si="2989"/>
        <v/>
      </c>
      <c r="CG69" s="108" t="str">
        <f t="shared" si="2989"/>
        <v/>
      </c>
      <c r="CH69" s="108" t="str">
        <f t="shared" si="2989"/>
        <v/>
      </c>
      <c r="CI69" s="108" t="str">
        <f t="shared" si="2989"/>
        <v/>
      </c>
      <c r="CJ69" s="108" t="str">
        <f t="shared" si="2989"/>
        <v/>
      </c>
      <c r="CK69" s="108" t="str">
        <f t="shared" si="2989"/>
        <v/>
      </c>
      <c r="CL69" s="108" t="str">
        <f t="shared" si="2989"/>
        <v/>
      </c>
      <c r="CM69" s="108" t="str">
        <f t="shared" si="2989"/>
        <v/>
      </c>
      <c r="CN69" s="108" t="str">
        <f t="shared" si="2989"/>
        <v/>
      </c>
      <c r="CO69" s="108">
        <f t="shared" ref="CO69" si="2990">IF(OR(R69="Grip",R69="Conn",R69="Catch"),"A",IF(OR(R69="Hula",R69="RetSq",R69="RetPa"),"B",2))</f>
        <v>2</v>
      </c>
      <c r="CP69" s="108" t="str">
        <f t="shared" ref="CP69" si="2991">IF(AND(LEFT(F69,4)="Acro",Q69&lt;&gt;"",OR(Q69=R69,CN69=CO69)),"X","")</f>
        <v/>
      </c>
      <c r="CQ69" s="108" t="str">
        <f>IF($E70="H",IF(OR(LEFT(W69,1)="T",LEFT(W69,1)="R"),LEFT(W69,2),LEFT(W69,1)),"")</f>
        <v/>
      </c>
      <c r="CR69" s="108"/>
      <c r="CS69" s="108"/>
      <c r="CT69" s="108"/>
      <c r="CU69" s="108"/>
      <c r="CV69" s="108"/>
      <c r="CW69" s="108"/>
      <c r="CX69" s="108"/>
      <c r="CY69" s="108"/>
      <c r="CZ69" s="108"/>
      <c r="DA69" s="108"/>
      <c r="DB69" s="108"/>
      <c r="DC69" s="108"/>
      <c r="DD69" s="108"/>
      <c r="DE69" s="108"/>
      <c r="DF69" s="108"/>
      <c r="DG69" s="108"/>
      <c r="DH69" s="108"/>
      <c r="DI69" s="108"/>
      <c r="DJ69" s="108"/>
      <c r="DK69" s="108" t="str">
        <f>IF($E70="H",IF(OR(LEFT(X69,1)="T",LEFT(X69,1)="R"),LEFT(X69,2),LEFT(X69,1)),"")</f>
        <v/>
      </c>
      <c r="DL69" s="108"/>
      <c r="DM69" s="108"/>
      <c r="DN69" s="108"/>
      <c r="DO69" s="108"/>
      <c r="DP69" s="108"/>
      <c r="DQ69" s="108"/>
      <c r="DR69" s="108"/>
      <c r="DS69" s="108"/>
      <c r="DT69" s="108"/>
      <c r="DU69" s="108"/>
      <c r="DV69" s="108" t="str">
        <f>IF($E70="H",IF(OR(LEFT(X69,1)="T",LEFT(X69,1)="R"),LEFT(X69,2),LEFT(X69,1)),"")</f>
        <v/>
      </c>
      <c r="DW69" s="108" t="str">
        <f>IF($E70="H",IF(OR(LEFT(Y69,1)="T",LEFT(Y69,1)="R"),LEFT(Y69,2),LEFT(Y69,1)),"")</f>
        <v/>
      </c>
      <c r="DX69" s="108" t="str">
        <f>IF($E70="H",IF(OR(LEFT(AA69,1)="T",LEFT(AA69,1)="R"),LEFT(AA69,2),LEFT(AA69,1)),"")</f>
        <v/>
      </c>
      <c r="DY69" s="108" t="str">
        <f>IF($E70="H",IF(OR(LEFT(AB69,1)="T",LEFT(AB69,1)="R"),LEFT(AB69,2),LEFT(AB69,1)),"")</f>
        <v/>
      </c>
      <c r="DZ69" s="108" t="str">
        <f>IF($E70="H",IF(OR(LEFT(AC69,1)="T",LEFT(AC69,1)="R"),LEFT(AC69,2),LEFT(AC69,1)),"")</f>
        <v/>
      </c>
      <c r="EA69" s="108"/>
      <c r="EB69" s="108"/>
      <c r="EC69" s="108"/>
      <c r="ED69" s="108"/>
      <c r="EE69" s="123"/>
      <c r="EF69" s="123"/>
      <c r="EG69" s="123"/>
      <c r="EH69" s="123"/>
      <c r="EI69" s="123"/>
      <c r="EJ69" s="123"/>
      <c r="EK69" s="123"/>
      <c r="EL69" s="123"/>
      <c r="EM69" s="123"/>
      <c r="EN69" s="123"/>
      <c r="EO69" s="123"/>
      <c r="EP69" s="123"/>
      <c r="EQ69" s="123"/>
      <c r="ER69" s="123"/>
      <c r="ES69" s="123"/>
      <c r="ET69" s="123"/>
      <c r="EU69" s="123"/>
      <c r="EV69" s="123"/>
      <c r="EW69" s="123"/>
      <c r="EX69" s="123"/>
      <c r="EY69" s="123"/>
      <c r="EZ69" s="123"/>
      <c r="FA69" s="123"/>
      <c r="FB69" s="123"/>
      <c r="FC69" s="123"/>
      <c r="FD69" s="123"/>
      <c r="FE69" s="123"/>
      <c r="FF69" s="123"/>
      <c r="FG69" s="123"/>
      <c r="FH69" s="123"/>
      <c r="FI69" s="123"/>
      <c r="FJ69" s="123"/>
      <c r="FK69" s="123"/>
      <c r="FL69" s="123"/>
      <c r="FM69" s="123"/>
    </row>
    <row r="70" spans="1:178" x14ac:dyDescent="0.3">
      <c r="A70" s="41"/>
      <c r="B70" s="41"/>
      <c r="C70" s="41"/>
      <c r="D70" s="41"/>
      <c r="E70" s="42"/>
      <c r="F70" s="16"/>
      <c r="AG70" s="111"/>
      <c r="AH70" s="111"/>
      <c r="AI70" s="111"/>
      <c r="AJ70" s="111"/>
      <c r="AK70" s="111"/>
      <c r="AT70" s="123"/>
      <c r="AU70" s="123"/>
      <c r="AV70" s="123"/>
      <c r="AW70" s="123"/>
      <c r="AX70" s="123"/>
      <c r="AY70" s="123"/>
      <c r="AZ70" s="123"/>
      <c r="BA70" s="123"/>
      <c r="BB70" s="123"/>
      <c r="BC70" s="123"/>
      <c r="BD70" s="123"/>
      <c r="BE70" s="123"/>
      <c r="BF70" s="123"/>
      <c r="BG70" s="123"/>
      <c r="BH70" s="123"/>
      <c r="BI70" s="123"/>
      <c r="BJ70" s="123"/>
      <c r="BK70" s="123"/>
      <c r="BL70" s="123"/>
      <c r="BM70" s="123"/>
      <c r="BN70" s="123"/>
      <c r="BO70" s="123"/>
      <c r="BP70" s="123"/>
      <c r="BQ70" s="123"/>
      <c r="BR70" s="123"/>
      <c r="BS70" s="123"/>
      <c r="BT70" s="123"/>
      <c r="BU70" s="123"/>
      <c r="BV70" s="123"/>
      <c r="BW70" s="123"/>
      <c r="BX70" s="123"/>
      <c r="BY70" s="123"/>
      <c r="BZ70" s="123"/>
      <c r="CA70" s="123"/>
      <c r="CB70" s="123"/>
      <c r="CC70" s="180"/>
      <c r="CD70" s="180"/>
      <c r="CE70" s="180"/>
      <c r="CF70" s="180"/>
      <c r="CG70" s="180"/>
      <c r="CH70" s="180"/>
      <c r="CI70" s="180"/>
      <c r="CJ70" s="180"/>
      <c r="CK70" s="180"/>
      <c r="CL70" s="180"/>
      <c r="CM70" s="180"/>
      <c r="CN70" s="180"/>
      <c r="CO70" s="180"/>
      <c r="CP70" s="180"/>
      <c r="CQ70" s="180"/>
      <c r="CR70" s="180"/>
      <c r="CS70" s="180"/>
      <c r="CT70" s="180"/>
      <c r="CU70" s="180"/>
      <c r="CV70" s="180"/>
      <c r="CW70" s="180"/>
      <c r="CX70" s="180"/>
      <c r="CY70" s="180"/>
      <c r="CZ70" s="180"/>
      <c r="DA70" s="180"/>
      <c r="DB70" s="180"/>
      <c r="DC70" s="180"/>
      <c r="DD70" s="180"/>
      <c r="DE70" s="180"/>
      <c r="DF70" s="180"/>
      <c r="DG70" s="180"/>
      <c r="DH70" s="180"/>
      <c r="DI70" s="180"/>
      <c r="DJ70" s="180"/>
      <c r="DK70" s="180"/>
      <c r="DL70" s="180"/>
      <c r="DM70" s="180"/>
      <c r="DN70" s="180"/>
      <c r="DO70" s="180"/>
      <c r="DP70" s="180"/>
      <c r="DQ70" s="180"/>
      <c r="DR70" s="180"/>
      <c r="DS70" s="180"/>
      <c r="DT70" s="180"/>
      <c r="DU70" s="180"/>
      <c r="DV70" s="180"/>
      <c r="DW70" s="180"/>
      <c r="DX70" s="180"/>
      <c r="DY70" s="180"/>
      <c r="DZ70" s="180"/>
      <c r="EA70" s="180"/>
      <c r="EB70" s="180"/>
      <c r="EC70" s="180"/>
      <c r="ED70" s="180"/>
      <c r="EE70" s="123"/>
      <c r="EF70" s="123"/>
      <c r="EG70" s="123"/>
      <c r="EH70" s="123"/>
      <c r="EI70" s="123"/>
      <c r="EJ70" s="123"/>
      <c r="EK70" s="123"/>
      <c r="EL70" s="123"/>
      <c r="EM70" s="123"/>
      <c r="EN70" s="123"/>
      <c r="EO70" s="123"/>
      <c r="EP70" s="123"/>
      <c r="EQ70" s="123"/>
      <c r="ER70" s="123"/>
      <c r="ES70" s="123"/>
      <c r="ET70" s="123"/>
      <c r="EU70" s="123"/>
      <c r="EV70" s="123"/>
      <c r="EW70" s="123"/>
      <c r="EX70" s="123"/>
      <c r="EY70" s="123"/>
      <c r="EZ70" s="123"/>
      <c r="FA70" s="123"/>
      <c r="FB70" s="123"/>
      <c r="FC70" s="123"/>
      <c r="FD70" s="123"/>
      <c r="FE70" s="123"/>
      <c r="FF70" s="123"/>
      <c r="FG70" s="123"/>
      <c r="FH70" s="123"/>
      <c r="FI70" s="123"/>
      <c r="FJ70" s="123"/>
      <c r="FK70" s="123"/>
      <c r="FL70" s="123"/>
      <c r="FM70" s="123"/>
      <c r="FN70" s="49"/>
      <c r="FO70" s="49"/>
      <c r="FP70" s="49"/>
      <c r="FQ70" s="49"/>
      <c r="FR70" s="49"/>
      <c r="FS70" s="49"/>
      <c r="FT70" s="49"/>
      <c r="FU70" s="49"/>
      <c r="FV70" s="49"/>
    </row>
    <row r="71" spans="1:178" x14ac:dyDescent="0.3">
      <c r="A71" s="41"/>
      <c r="B71" s="41"/>
      <c r="C71" s="41"/>
      <c r="D71" s="41"/>
      <c r="E71" s="41"/>
      <c r="F71" s="16"/>
      <c r="AG71" s="111"/>
      <c r="AH71" s="111"/>
      <c r="AI71" s="111"/>
      <c r="AJ71" s="111"/>
      <c r="AK71" s="111"/>
      <c r="CA71" s="111"/>
      <c r="CB71" s="111"/>
      <c r="DY71" s="108"/>
      <c r="DZ71" s="108"/>
      <c r="EA71" s="108"/>
      <c r="EB71" s="108"/>
      <c r="EC71" s="108"/>
      <c r="ED71" s="108"/>
    </row>
    <row r="72" spans="1:178" x14ac:dyDescent="0.3">
      <c r="A72" s="41"/>
      <c r="B72" s="41"/>
      <c r="C72" s="41"/>
      <c r="D72" s="41"/>
      <c r="E72" s="42"/>
      <c r="F72" s="16"/>
    </row>
    <row r="73" spans="1:178" x14ac:dyDescent="0.3">
      <c r="A73" s="41"/>
      <c r="B73" s="41"/>
      <c r="C73" s="41"/>
      <c r="D73" s="41"/>
      <c r="E73" s="41"/>
      <c r="G73" s="12" t="s">
        <v>587</v>
      </c>
      <c r="H73" s="16">
        <v>1</v>
      </c>
      <c r="K73" s="12" t="s">
        <v>591</v>
      </c>
      <c r="L73" s="16">
        <v>2</v>
      </c>
      <c r="O73" s="12" t="s">
        <v>592</v>
      </c>
      <c r="P73" s="16">
        <v>3</v>
      </c>
      <c r="S73" s="12" t="s">
        <v>593</v>
      </c>
      <c r="T73" s="16">
        <v>4</v>
      </c>
      <c r="W73" s="12" t="s">
        <v>594</v>
      </c>
      <c r="X73" s="16">
        <v>5</v>
      </c>
      <c r="AA73" s="12" t="s">
        <v>595</v>
      </c>
      <c r="AB73" s="16">
        <v>6</v>
      </c>
      <c r="AE73" s="12" t="s">
        <v>596</v>
      </c>
      <c r="AF73" s="16">
        <v>7</v>
      </c>
      <c r="AI73" s="12" t="s">
        <v>597</v>
      </c>
      <c r="AJ73" s="125">
        <v>8</v>
      </c>
      <c r="AK73" s="126"/>
      <c r="AL73" s="126"/>
      <c r="AM73" s="126" t="s">
        <v>598</v>
      </c>
      <c r="AN73" s="125">
        <v>9</v>
      </c>
      <c r="AO73" s="126"/>
      <c r="AP73" s="126"/>
      <c r="AQ73" s="126"/>
      <c r="AR73" s="126"/>
      <c r="AS73" s="126"/>
      <c r="AT73" s="126"/>
      <c r="AU73" s="126"/>
      <c r="AV73" s="126"/>
      <c r="AW73" s="126"/>
      <c r="AX73" s="126"/>
      <c r="AY73" s="126"/>
      <c r="AZ73" s="126"/>
      <c r="BA73" s="126"/>
      <c r="BB73" s="126"/>
      <c r="BC73" s="126"/>
      <c r="BD73" s="126"/>
      <c r="BE73" s="126"/>
      <c r="BF73" s="126"/>
      <c r="BG73" s="126"/>
      <c r="BH73" s="126"/>
      <c r="BI73" s="126"/>
      <c r="BJ73" s="126"/>
      <c r="BK73" s="126"/>
      <c r="BM73" s="108"/>
      <c r="BP73" s="108"/>
      <c r="BY73" s="108"/>
      <c r="BZ73" s="108"/>
      <c r="DW73" s="111"/>
      <c r="DX73" s="111"/>
    </row>
    <row r="74" spans="1:178" x14ac:dyDescent="0.3">
      <c r="A74" s="41"/>
      <c r="B74" s="41"/>
      <c r="C74" s="41"/>
      <c r="D74" s="41"/>
      <c r="E74" s="42"/>
      <c r="G74" s="12" t="s">
        <v>588</v>
      </c>
      <c r="H74" s="16" t="s">
        <v>20</v>
      </c>
      <c r="I74" s="12" t="s">
        <v>589</v>
      </c>
      <c r="J74" s="12" t="s">
        <v>590</v>
      </c>
      <c r="K74" s="12" t="s">
        <v>588</v>
      </c>
      <c r="L74" s="16" t="s">
        <v>20</v>
      </c>
      <c r="M74" s="12" t="s">
        <v>589</v>
      </c>
      <c r="N74" s="12" t="s">
        <v>590</v>
      </c>
      <c r="O74" s="12" t="s">
        <v>588</v>
      </c>
      <c r="P74" s="16" t="s">
        <v>20</v>
      </c>
      <c r="Q74" s="12" t="s">
        <v>589</v>
      </c>
      <c r="R74" s="12" t="s">
        <v>590</v>
      </c>
      <c r="S74" s="12" t="s">
        <v>588</v>
      </c>
      <c r="T74" s="16" t="s">
        <v>20</v>
      </c>
      <c r="U74" s="12" t="s">
        <v>589</v>
      </c>
      <c r="V74" s="12" t="s">
        <v>590</v>
      </c>
      <c r="W74" s="12" t="s">
        <v>588</v>
      </c>
      <c r="X74" s="16" t="s">
        <v>20</v>
      </c>
      <c r="Y74" s="12" t="s">
        <v>589</v>
      </c>
      <c r="Z74" s="12" t="s">
        <v>590</v>
      </c>
      <c r="AA74" s="12" t="s">
        <v>588</v>
      </c>
      <c r="AB74" s="16" t="s">
        <v>20</v>
      </c>
      <c r="AC74" s="12" t="s">
        <v>589</v>
      </c>
      <c r="AD74" s="12" t="s">
        <v>590</v>
      </c>
      <c r="AE74" s="12" t="s">
        <v>588</v>
      </c>
      <c r="AF74" s="16" t="s">
        <v>20</v>
      </c>
      <c r="AG74" s="12" t="s">
        <v>589</v>
      </c>
      <c r="AH74" s="12" t="s">
        <v>590</v>
      </c>
      <c r="AI74" s="12" t="s">
        <v>588</v>
      </c>
      <c r="AJ74" s="16" t="s">
        <v>20</v>
      </c>
      <c r="AK74" s="12" t="s">
        <v>589</v>
      </c>
      <c r="AL74" s="12" t="s">
        <v>590</v>
      </c>
      <c r="AM74" s="12" t="s">
        <v>588</v>
      </c>
      <c r="AN74" s="16" t="s">
        <v>20</v>
      </c>
      <c r="AO74" s="12" t="s">
        <v>589</v>
      </c>
      <c r="AP74" s="12" t="s">
        <v>590</v>
      </c>
      <c r="AQ74" s="12"/>
      <c r="AR74" s="12"/>
      <c r="AS74" s="12"/>
      <c r="AT74" s="12"/>
      <c r="AU74" s="12"/>
      <c r="AV74" s="12"/>
      <c r="AW74" s="12"/>
      <c r="AX74" s="12"/>
      <c r="AY74" s="12"/>
      <c r="AZ74" s="12"/>
      <c r="BA74" s="12"/>
      <c r="BB74" s="12"/>
      <c r="BC74" s="12"/>
      <c r="BD74" s="12"/>
      <c r="BE74" s="12"/>
      <c r="BF74" s="12"/>
      <c r="BG74" s="12"/>
      <c r="BH74" s="12"/>
      <c r="BI74" s="12"/>
      <c r="BJ74" s="12"/>
      <c r="BK74" s="12"/>
      <c r="BM74" s="108"/>
      <c r="BP74" s="108"/>
      <c r="BY74" s="108"/>
      <c r="BZ74" s="108"/>
      <c r="DW74" s="111"/>
      <c r="DX74" s="111"/>
    </row>
    <row r="75" spans="1:178" x14ac:dyDescent="0.3">
      <c r="A75" s="41"/>
      <c r="B75" s="41"/>
      <c r="C75" s="41"/>
      <c r="D75" s="41"/>
      <c r="E75" s="41"/>
      <c r="G75" s="12"/>
      <c r="AL75" s="12"/>
      <c r="AM75" s="12"/>
      <c r="AN75" s="12"/>
      <c r="AO75" s="12"/>
      <c r="AP75" s="12"/>
      <c r="AQ75" s="79"/>
      <c r="AR75" s="79"/>
      <c r="AS75" s="79"/>
      <c r="AT75" s="79"/>
      <c r="AU75" s="79"/>
      <c r="AV75" s="79"/>
      <c r="AW75" s="79"/>
      <c r="AX75" s="79"/>
      <c r="AY75" s="79"/>
      <c r="AZ75" s="79"/>
      <c r="BA75" s="79"/>
      <c r="BB75" s="79"/>
      <c r="BC75" s="79"/>
      <c r="BD75" s="79"/>
      <c r="BE75" s="79"/>
      <c r="BF75" s="79"/>
      <c r="BG75" s="79"/>
      <c r="BH75" s="79"/>
      <c r="BI75" s="79"/>
      <c r="BJ75" s="79"/>
      <c r="BK75" s="79"/>
      <c r="BY75" s="108"/>
      <c r="BZ75" s="108"/>
      <c r="DW75" s="111"/>
      <c r="DX75" s="111"/>
    </row>
    <row r="76" spans="1:178" x14ac:dyDescent="0.3">
      <c r="A76" s="41"/>
      <c r="B76" s="41"/>
      <c r="C76" s="41"/>
      <c r="D76" s="41"/>
      <c r="E76" s="25" t="str">
        <f>IF(G76&lt;&gt;"","Copy green area &gt;&gt;&gt;","")</f>
        <v/>
      </c>
      <c r="F76" s="74" t="s">
        <v>585</v>
      </c>
      <c r="G76" s="78" t="str">
        <f>IFERROR(IF($BS$8="T",IF(OR(INDEX($E$20:$E$68,MATCH(H73,$G$19:$G$67,0))="H",INDEX($E$20:$E$68,MATCH(H73,$G$19:$G$67,0))="T"),INDEX($E$20:$E$68,MATCH(H73,$G$19:$G$67,0)),IF(INDEX($E$20:$E$68,MATCH(H73,$G$19:$G$67,0))=3,"T",IF(OR(INDEX($E$20:$E$68,MATCH(H73,$G$19:$G$67,0))="A",INDEX($E$20:$E$68,MATCH(H73,$G$19:$G$67,0))="B",INDEX($E$20:$E$68,MATCH(H73,$G$19:$G$67,0))="C",INDEX($E$20:$E$68,MATCH(H73,$G$19:$G$67,0))="P"),CONCATENATE("A",RIGHT(INDEX($H$20:$H$68,MATCH(H73,$G$19:$G$67,0)),1)),IF(INDEX($E$20:$E$68,MATCH(H73,$G$19:$G$67,0))="PA",IF(MID(INDEX($H$20:$H$68,MATCH(H73,$G$19:$G$67,0)),8,1)="W","AT",CONCATENATE("A",MID(INDEX($H$20:$H$68,MATCH(H73,$G$19:$G$67,0)),8,1))),"")))),""),"")</f>
        <v/>
      </c>
      <c r="H76" s="78" t="str">
        <f>IFERROR(IF($BS$8="T",IF(G76="T",INDEX($J$19:$J$67,MATCH(H73,$G$19:$G$67,0)),""),""),"")</f>
        <v/>
      </c>
      <c r="I76" s="79" t="str">
        <f>IFERROR(IF($BS$8="T",IF(OR(G76="H",LEFT(G76,1)="A"),IF($BS$6="D",0.1,0.5),""),""),"")</f>
        <v/>
      </c>
      <c r="J76" s="225" t="str">
        <f>IFERROR(IF($BS$8="T",INDEX($AE$20:$AE$68,MATCH(H73,$G$19:$G$67,0)),""),"")</f>
        <v/>
      </c>
      <c r="K76" s="78" t="str">
        <f>IFERROR(IF($BS$8="T",IF(OR(INDEX($E$20:$E$68,MATCH(L73,$G$19:$G$67,0))="H",INDEX($E$20:$E$68,MATCH(L73,$G$19:$G$67,0))="T"),INDEX($E$20:$E$68,MATCH(L73,$G$19:$G$67,0)),IF(INDEX($E$20:$E$68,MATCH(L73,$G$19:$G$67,0))=3,"T",IF(OR(INDEX($E$20:$E$68,MATCH(L73,$G$19:$G$67,0))="A",INDEX($E$20:$E$68,MATCH(L73,$G$19:$G$67,0))="B",INDEX($E$20:$E$68,MATCH(L73,$G$19:$G$67,0))="C",INDEX($E$20:$E$68,MATCH(L73,$G$19:$G$67,0))="P"),CONCATENATE("A",RIGHT(INDEX($H$20:$H$68,MATCH(L73,$G$19:$G$67,0)),1)),IF(INDEX($E$20:$E$68,MATCH(L73,$G$19:$G$67,0))="PA",IF(MID(INDEX($H$20:$H$68,MATCH(L73,$G$19:$G$67,0)),8,1)="W","AT",CONCATENATE("A",MID(INDEX($H$20:$H$68,MATCH(L73,$G$19:$G$67,0)),8,1))),"")))),""),"")</f>
        <v/>
      </c>
      <c r="L76" s="78" t="str">
        <f>IFERROR(IF($BS$8="T",IF(K76="T",INDEX($J$19:$J$67,MATCH(L73,$G$19:$G$67,0)),""),""),"")</f>
        <v/>
      </c>
      <c r="M76" s="79" t="str">
        <f>IFERROR(IF($BS$8="T",IF(OR(K76="H",LEFT(K76,1)="A"),IF($BS$6="D",0.1,0.5),""),""),"")</f>
        <v/>
      </c>
      <c r="N76" s="225" t="str">
        <f>IFERROR(IF($BS$8="T",INDEX($AE$20:$AE$68,MATCH(L73,$G$19:$G$67,0)),""),"")</f>
        <v/>
      </c>
      <c r="O76" s="78" t="str">
        <f>IFERROR(IF($BS$8="T",IF(OR(INDEX($E$20:$E$68,MATCH(P73,$G$19:$G$67,0))="H",INDEX($E$20:$E$68,MATCH(P73,$G$19:$G$67,0))="T"),INDEX($E$20:$E$68,MATCH(P73,$G$19:$G$67,0)),IF(INDEX($E$20:$E$68,MATCH(P73,$G$19:$G$67,0))=3,"T",IF(OR(INDEX($E$20:$E$68,MATCH(P73,$G$19:$G$67,0))="A",INDEX($E$20:$E$68,MATCH(P73,$G$19:$G$67,0))="B",INDEX($E$20:$E$68,MATCH(P73,$G$19:$G$67,0))="C",INDEX($E$20:$E$68,MATCH(P73,$G$19:$G$67,0))="P"),CONCATENATE("A",RIGHT(INDEX($H$20:$H$68,MATCH(P73,$G$19:$G$67,0)),1)),IF(INDEX($E$20:$E$68,MATCH(P73,$G$19:$G$67,0))="PA",IF(MID(INDEX($H$20:$H$68,MATCH(P73,$G$19:$G$67,0)),8,1)="W","AT",CONCATENATE("A",MID(INDEX($H$20:$H$68,MATCH(P73,$G$19:$G$67,0)),8,1))),"")))),""),"")</f>
        <v/>
      </c>
      <c r="P76" s="78" t="str">
        <f>IFERROR(IF($BS$8="T",IF(O76="T",INDEX($J$19:$J$67,MATCH(P73,$G$19:$G$67,0)),""),""),"")</f>
        <v/>
      </c>
      <c r="Q76" s="79" t="str">
        <f>IFERROR(IF($BS$8="T",IF(OR(O76="H",LEFT(O76,1)="A"),IF($BS$6="D",0.1,0.5),""),""),"")</f>
        <v/>
      </c>
      <c r="R76" s="225" t="str">
        <f>IFERROR(IF($BS$8="T",INDEX($AE$20:$AE$68,MATCH(P73,$G$19:$G$67,0)),""),"")</f>
        <v/>
      </c>
      <c r="S76" s="78" t="str">
        <f>IFERROR(IF($BS$8="T",IF(OR(INDEX($E$20:$E$68,MATCH(T73,$G$19:$G$67,0))="H",INDEX($E$20:$E$68,MATCH(T73,$G$19:$G$67,0))="T"),INDEX($E$20:$E$68,MATCH(T73,$G$19:$G$67,0)),IF(INDEX($E$20:$E$68,MATCH(T73,$G$19:$G$67,0))=3,"T",IF(OR(INDEX($E$20:$E$68,MATCH(T73,$G$19:$G$67,0))="A",INDEX($E$20:$E$68,MATCH(T73,$G$19:$G$67,0))="B",INDEX($E$20:$E$68,MATCH(T73,$G$19:$G$67,0))="C",INDEX($E$20:$E$68,MATCH(T73,$G$19:$G$67,0))="P"),CONCATENATE("A",RIGHT(INDEX($H$20:$H$68,MATCH(T73,$G$19:$G$67,0)),1)),IF(INDEX($E$20:$E$68,MATCH(T73,$G$19:$G$67,0))="PA",IF(MID(INDEX($H$20:$H$68,MATCH(T73,$G$19:$G$67,0)),8,1)="W","AT",CONCATENATE("A",MID(INDEX($H$20:$H$68,MATCH(T73,$G$19:$G$67,0)),8,1))),"")))),""),"")</f>
        <v/>
      </c>
      <c r="T76" s="78" t="str">
        <f>IFERROR(IF($BS$8="T",IF(S76="T",INDEX($J$19:$J$67,MATCH(T73,$G$19:$G$67,0)),""),""),"")</f>
        <v/>
      </c>
      <c r="U76" s="79" t="str">
        <f>IFERROR(IF($BS$8="T",IF(OR(S76="H",LEFT(S76,1)="A"),IF($BS$6="D",0.1,0.5),""),""),"")</f>
        <v/>
      </c>
      <c r="V76" s="225" t="str">
        <f>IFERROR(IF($BS$8="T",INDEX($AE$20:$AE$68,MATCH(T73,$G$19:$G$67,0)),""),"")</f>
        <v/>
      </c>
      <c r="W76" s="78" t="str">
        <f>IFERROR(IF($BS$8="T",IF(OR(INDEX($E$20:$E$68,MATCH(X73,$G$19:$G$67,0))="H",INDEX($E$20:$E$68,MATCH(X73,$G$19:$G$67,0))="T"),INDEX($E$20:$E$68,MATCH(X73,$G$19:$G$67,0)),IF(INDEX($E$20:$E$68,MATCH(X73,$G$19:$G$67,0))=3,"T",IF(OR(INDEX($E$20:$E$68,MATCH(X73,$G$19:$G$67,0))="A",INDEX($E$20:$E$68,MATCH(X73,$G$19:$G$67,0))="B",INDEX($E$20:$E$68,MATCH(X73,$G$19:$G$67,0))="C",INDEX($E$20:$E$68,MATCH(X73,$G$19:$G$67,0))="P"),CONCATENATE("A",RIGHT(INDEX($H$20:$H$68,MATCH(X73,$G$19:$G$67,0)),1)),IF(INDEX($E$20:$E$68,MATCH(X73,$G$19:$G$67,0))="PA",IF(MID(INDEX($H$20:$H$68,MATCH(X73,$G$19:$G$67,0)),8,1)="W","AT",CONCATENATE("A",MID(INDEX($H$20:$H$68,MATCH(X73,$G$19:$G$67,0)),8,1))),"")))),""),"")</f>
        <v/>
      </c>
      <c r="X76" s="78" t="str">
        <f>IFERROR(IF($BS$8="T",IF(W76="T",INDEX($J$19:$J$67,MATCH(X73,$G$19:$G$67,0)),""),""),"")</f>
        <v/>
      </c>
      <c r="Y76" s="79" t="str">
        <f>IFERROR(IF($BS$8="T",IF(OR(W76="H",LEFT(W76,1)="A"),IF($BS$6="D",0.1,0.5),""),""),"")</f>
        <v/>
      </c>
      <c r="Z76" s="225" t="str">
        <f>IFERROR(IF($BS$8="T",INDEX($AE$20:$AE$68,MATCH(X73,$G$19:$G$67,0)),""),"")</f>
        <v/>
      </c>
      <c r="AA76" s="78" t="str">
        <f>IFERROR(IF($BS$8="T",IF(OR(INDEX($E$20:$E$68,MATCH(AB73,$G$19:$G$67,0))="H",INDEX($E$20:$E$68,MATCH(AB73,$G$19:$G$67,0))="T"),INDEX($E$20:$E$68,MATCH(AB73,$G$19:$G$67,0)),IF(INDEX($E$20:$E$68,MATCH(AB73,$G$19:$G$67,0))=3,"T",IF(OR(INDEX($E$20:$E$68,MATCH(AB73,$G$19:$G$67,0))="A",INDEX($E$20:$E$68,MATCH(AB73,$G$19:$G$67,0))="B",INDEX($E$20:$E$68,MATCH(AB73,$G$19:$G$67,0))="C",INDEX($E$20:$E$68,MATCH(AB73,$G$19:$G$67,0))="P"),CONCATENATE("A",RIGHT(INDEX($H$20:$H$68,MATCH(AB73,$G$19:$G$67,0)),1)),IF(INDEX($E$20:$E$68,MATCH(AB73,$G$19:$G$67,0))="PA",IF(MID(INDEX($H$20:$H$68,MATCH(AB73,$G$19:$G$67,0)),8,1)="W","AT",CONCATENATE("A",MID(INDEX($H$20:$H$68,MATCH(AB73,$G$19:$G$67,0)),8,1))),"")))),""),"")</f>
        <v/>
      </c>
      <c r="AB76" s="78" t="str">
        <f>IFERROR(IF($BS$8="T",IF(AA76="T",INDEX($J$19:$J$67,MATCH(AB73,$G$19:$G$67,0)),""),""),"")</f>
        <v/>
      </c>
      <c r="AC76" s="79" t="str">
        <f>IFERROR(IF($BS$8="T",IF(OR(AA76="H",LEFT(AA76,1)="A"),IF($BS$6="D",0.1,0.5),""),""),"")</f>
        <v/>
      </c>
      <c r="AD76" s="225" t="str">
        <f>IFERROR(IF($BS$8="T",INDEX($AE$20:$AE$68,MATCH(AB73,$G$19:$G$67,0)),""),"")</f>
        <v/>
      </c>
      <c r="AE76" s="78" t="str">
        <f>IFERROR(IF($BS$8="T",IF(OR(INDEX($E$20:$E$68,MATCH(AF73,$G$19:$G$67,0))="H",INDEX($E$20:$E$68,MATCH(AF73,$G$19:$G$67,0))="T"),INDEX($E$20:$E$68,MATCH(AF73,$G$19:$G$67,0)),IF(INDEX($E$20:$E$68,MATCH(AF73,$G$19:$G$67,0))=3,"T",IF(OR(INDEX($E$20:$E$68,MATCH(AF73,$G$19:$G$67,0))="A",INDEX($E$20:$E$68,MATCH(AF73,$G$19:$G$67,0))="B",INDEX($E$20:$E$68,MATCH(AF73,$G$19:$G$67,0))="C",INDEX($E$20:$E$68,MATCH(AF73,$G$19:$G$67,0))="P"),CONCATENATE("A",RIGHT(INDEX($H$20:$H$68,MATCH(AF73,$G$19:$G$67,0)),1)),IF(INDEX($E$20:$E$68,MATCH(AF73,$G$19:$G$67,0))="PA",IF(MID(INDEX($H$20:$H$68,MATCH(AF73,$G$19:$G$67,0)),8,1)="W","AT",CONCATENATE("A",MID(INDEX($H$20:$H$68,MATCH(AF73,$G$19:$G$67,0)),8,1))),"")))),""),"")</f>
        <v/>
      </c>
      <c r="AF76" s="78" t="str">
        <f>IFERROR(IF($BS$8="T",IF(AE76="T",INDEX($J$19:$J$67,MATCH(AF73,$G$19:$G$67,0)),""),""),"")</f>
        <v/>
      </c>
      <c r="AG76" s="79" t="str">
        <f>IFERROR(IF($BS$8="T",IF(OR(AE76="H",LEFT(AE76,1)="A"),IF($BS$6="D",0.1,0.5),""),""),"")</f>
        <v/>
      </c>
      <c r="AH76" s="225" t="str">
        <f>IFERROR(IF($BS$8="T",INDEX($AE$20:$AE$68,MATCH(AF73,$G$19:$G$67,0)),""),"")</f>
        <v/>
      </c>
      <c r="AI76" s="78" t="str">
        <f>IFERROR(IF($BS$8="T",IF(OR(INDEX($E$20:$E$68,MATCH(AJ73,$G$19:$G$67,0))="H",INDEX($E$20:$E$68,MATCH(AJ73,$G$19:$G$67,0))="T"),INDEX($E$20:$E$68,MATCH(AJ73,$G$19:$G$67,0)),IF(INDEX($E$20:$E$68,MATCH(AJ73,$G$19:$G$67,0))=3,"T",IF(OR(INDEX($E$20:$E$68,MATCH(AJ73,$G$19:$G$67,0))="A",INDEX($E$20:$E$68,MATCH(AJ73,$G$19:$G$67,0))="B",INDEX($E$20:$E$68,MATCH(AJ73,$G$19:$G$67,0))="C",INDEX($E$20:$E$68,MATCH(AJ73,$G$19:$G$67,0))="P"),CONCATENATE("A",RIGHT(INDEX($H$20:$H$68,MATCH(AJ73,$G$19:$G$67,0)),1)),IF(INDEX($E$20:$E$68,MATCH(AJ73,$G$19:$G$67,0))="PA",IF(MID(INDEX($H$20:$H$68,MATCH(AJ73,$G$19:$G$67,0)),8,1)="W","AT",CONCATENATE("A",MID(INDEX($H$20:$H$68,MATCH(AJ73,$G$19:$G$67,0)),8,1))),"")))),""),"")</f>
        <v/>
      </c>
      <c r="AJ76" s="78" t="str">
        <f>IFERROR(IF($BS$8="T",IF(AI76="T",INDEX($J$19:$J$67,MATCH(AJ73,$G$19:$G$67,0)),""),""),"")</f>
        <v/>
      </c>
      <c r="AK76" s="79" t="str">
        <f>IFERROR(IF($BS$8="T",IF(OR(AI76="H",LEFT(AI76,1)="A"),IF($BS$6="D",0.1,0.5),""),""),"")</f>
        <v/>
      </c>
      <c r="AL76" s="225" t="str">
        <f>IFERROR(IF($BS$8="T",INDEX($AE$20:$AE$68,MATCH(AJ73,$G$19:$G$67,0)),""),"")</f>
        <v/>
      </c>
      <c r="AM76" s="78" t="str">
        <f>IFERROR(IF($BS$8="T",IF(OR(INDEX($E$20:$E$68,MATCH(AN73,$G$19:$G$67,0))="H",INDEX($E$20:$E$68,MATCH(AN73,$G$19:$G$67,0))="T"),INDEX($E$20:$E$68,MATCH(AN73,$G$19:$G$67,0)),IF(INDEX($E$20:$E$68,MATCH(AN73,$G$19:$G$67,0))=3,"T",IF(OR(INDEX($E$20:$E$68,MATCH(AN73,$G$19:$G$67,0))="A",INDEX($E$20:$E$68,MATCH(AN73,$G$19:$G$67,0))="B",INDEX($E$20:$E$68,MATCH(AN73,$G$19:$G$67,0))="C",INDEX($E$20:$E$68,MATCH(AN73,$G$19:$G$67,0))="P"),CONCATENATE("A",RIGHT(INDEX($H$20:$H$68,MATCH(AN73,$G$19:$G$67,0)),1)),IF(INDEX($E$20:$E$68,MATCH(AN73,$G$19:$G$67,0))="PA",IF(MID(INDEX($H$20:$H$68,MATCH(AN73,$G$19:$G$67,0)),8,1)="W","AT",CONCATENATE("A",MID(INDEX($H$20:$H$68,MATCH(AN73,$G$19:$G$67,0)),8,1))),"")))),""),"")</f>
        <v/>
      </c>
      <c r="AN76" s="78" t="str">
        <f>IFERROR(IF($BS$8="T",IF(AM76="T",INDEX($J$19:$J$67,MATCH(AN73,$G$19:$G$67,0)),""),""),"")</f>
        <v/>
      </c>
      <c r="AO76" s="79" t="str">
        <f>IFERROR(IF($BS$8="T",IF(OR(AM76="H",LEFT(AM76,1)="A"),IF($BS$6="D",0.1,0.5),""),""),"")</f>
        <v/>
      </c>
      <c r="AP76" s="225" t="str">
        <f>IFERROR(IF($BS$8="T",INDEX($AE$20:$AE$68,MATCH(AN73,$G$19:$G$67,0)),""),"")</f>
        <v/>
      </c>
      <c r="BL76" s="108"/>
      <c r="BM76" s="108"/>
      <c r="BO76" s="108"/>
      <c r="BP76" s="108"/>
      <c r="BY76" s="108"/>
      <c r="BZ76" s="108"/>
      <c r="DW76" s="111"/>
      <c r="DX76" s="111"/>
    </row>
    <row r="77" spans="1:178" x14ac:dyDescent="0.3">
      <c r="A77" s="41"/>
      <c r="B77" s="41"/>
      <c r="C77" s="41"/>
      <c r="D77" s="41"/>
      <c r="E77" s="42"/>
      <c r="F77" s="74"/>
      <c r="K77" s="16"/>
      <c r="L77" s="16"/>
      <c r="O77" s="16"/>
      <c r="P77" s="16"/>
      <c r="S77" s="16"/>
      <c r="T77" s="16"/>
      <c r="W77" s="16"/>
      <c r="X77" s="16"/>
      <c r="Y77" s="109" t="s">
        <v>1263</v>
      </c>
      <c r="AA77" s="16"/>
      <c r="AB77" s="16"/>
      <c r="AE77" s="16"/>
      <c r="AF77" s="16"/>
      <c r="AJ77" s="111"/>
      <c r="AK77" s="111"/>
      <c r="BY77" s="108"/>
      <c r="BZ77" s="108"/>
      <c r="DW77" s="111"/>
      <c r="DX77" s="111"/>
    </row>
    <row r="78" spans="1:178" x14ac:dyDescent="0.3">
      <c r="F78" s="74"/>
      <c r="G78" s="12" t="s">
        <v>587</v>
      </c>
      <c r="H78" s="16">
        <v>1</v>
      </c>
      <c r="J78" s="12" t="s">
        <v>591</v>
      </c>
      <c r="K78" s="16">
        <v>2</v>
      </c>
      <c r="M78" s="12" t="s">
        <v>592</v>
      </c>
      <c r="N78" s="16">
        <v>3</v>
      </c>
      <c r="P78" s="12" t="s">
        <v>593</v>
      </c>
      <c r="Q78" s="16">
        <v>4</v>
      </c>
      <c r="S78" s="12" t="s">
        <v>594</v>
      </c>
      <c r="T78" s="16">
        <v>5</v>
      </c>
      <c r="V78" s="12" t="s">
        <v>595</v>
      </c>
      <c r="W78" s="16">
        <v>6</v>
      </c>
      <c r="Y78" s="12" t="s">
        <v>596</v>
      </c>
      <c r="Z78" s="16">
        <v>7</v>
      </c>
      <c r="AB78" s="12" t="s">
        <v>597</v>
      </c>
      <c r="AC78" s="16">
        <v>8</v>
      </c>
      <c r="AE78" s="12" t="s">
        <v>598</v>
      </c>
      <c r="AF78" s="16">
        <v>9</v>
      </c>
      <c r="AH78" s="12" t="s">
        <v>599</v>
      </c>
      <c r="AI78" s="16">
        <v>10</v>
      </c>
      <c r="AJ78" s="126"/>
      <c r="AK78" s="126" t="s">
        <v>600</v>
      </c>
      <c r="AL78" s="125">
        <v>11</v>
      </c>
      <c r="AM78" s="126"/>
      <c r="BY78" s="108"/>
      <c r="BZ78" s="108"/>
      <c r="DW78" s="111"/>
      <c r="DX78" s="111"/>
    </row>
    <row r="79" spans="1:178" x14ac:dyDescent="0.3">
      <c r="G79" s="12" t="s">
        <v>588</v>
      </c>
      <c r="H79" s="12" t="s">
        <v>589</v>
      </c>
      <c r="I79" s="12" t="s">
        <v>590</v>
      </c>
      <c r="J79" s="12" t="s">
        <v>588</v>
      </c>
      <c r="K79" s="12" t="s">
        <v>589</v>
      </c>
      <c r="L79" s="12" t="s">
        <v>590</v>
      </c>
      <c r="M79" s="12" t="s">
        <v>588</v>
      </c>
      <c r="N79" s="12" t="s">
        <v>589</v>
      </c>
      <c r="O79" s="12" t="s">
        <v>590</v>
      </c>
      <c r="P79" s="12" t="s">
        <v>588</v>
      </c>
      <c r="Q79" s="12" t="s">
        <v>589</v>
      </c>
      <c r="R79" s="12" t="s">
        <v>590</v>
      </c>
      <c r="S79" s="12" t="s">
        <v>588</v>
      </c>
      <c r="T79" s="12" t="s">
        <v>589</v>
      </c>
      <c r="U79" s="12" t="s">
        <v>590</v>
      </c>
      <c r="V79" s="12" t="s">
        <v>588</v>
      </c>
      <c r="W79" s="12" t="s">
        <v>589</v>
      </c>
      <c r="X79" s="12" t="s">
        <v>590</v>
      </c>
      <c r="Y79" s="12" t="s">
        <v>588</v>
      </c>
      <c r="Z79" s="12" t="s">
        <v>589</v>
      </c>
      <c r="AA79" s="12" t="s">
        <v>590</v>
      </c>
      <c r="AB79" s="12" t="s">
        <v>588</v>
      </c>
      <c r="AC79" s="12" t="s">
        <v>589</v>
      </c>
      <c r="AD79" s="12" t="s">
        <v>590</v>
      </c>
      <c r="AE79" s="12" t="s">
        <v>588</v>
      </c>
      <c r="AF79" s="12" t="s">
        <v>589</v>
      </c>
      <c r="AG79" s="12" t="s">
        <v>590</v>
      </c>
      <c r="AH79" s="12" t="s">
        <v>588</v>
      </c>
      <c r="AI79" s="12" t="s">
        <v>589</v>
      </c>
      <c r="AJ79" s="126" t="s">
        <v>590</v>
      </c>
      <c r="AK79" s="126" t="s">
        <v>588</v>
      </c>
      <c r="AL79" s="126" t="s">
        <v>589</v>
      </c>
      <c r="AM79" s="126" t="s">
        <v>590</v>
      </c>
      <c r="BY79" s="108"/>
      <c r="BZ79" s="108"/>
      <c r="DW79" s="111"/>
      <c r="DX79" s="111"/>
    </row>
    <row r="80" spans="1:178" x14ac:dyDescent="0.3">
      <c r="G80" s="12"/>
      <c r="K80" s="16"/>
      <c r="N80" s="16"/>
      <c r="Q80" s="16"/>
      <c r="T80" s="16"/>
      <c r="W80" s="16"/>
      <c r="Z80" s="16"/>
      <c r="AC80" s="16"/>
      <c r="AF80" s="16"/>
      <c r="AI80" s="16"/>
      <c r="AJ80" s="111"/>
      <c r="AK80" s="111"/>
      <c r="AL80" s="108"/>
      <c r="BY80" s="108"/>
      <c r="BZ80" s="108"/>
      <c r="DW80" s="111"/>
      <c r="DX80" s="111"/>
    </row>
    <row r="81" spans="5:128" x14ac:dyDescent="0.3">
      <c r="E81" s="25" t="str">
        <f>IF(G81&lt;&gt;"","Copy green area &gt;&gt;&gt;","")</f>
        <v/>
      </c>
      <c r="F81" s="74" t="s">
        <v>586</v>
      </c>
      <c r="G81" s="78" t="str">
        <f>IFERROR(IF($BS$8&lt;&gt;"T",IF(OR(INDEX($E$20:$E$68,MATCH(H78,$G$19:$G$67,0))="H",INDEX($E$20:$E$68,MATCH(H78,$G$19:$G$67,0))="T"),INDEX($E$20:$E$68,MATCH(H78,$G$19:$G$67,0)),IF(INDEX($E$20:$E$68,MATCH(H78,$G$19:$G$67,0))=3,"T",IF(OR(INDEX($E$20:$E$68,MATCH(H78,$G$19:$G$67,0))="A",INDEX($E$20:$E$68,MATCH(H78,$G$19:$G$67,0))="B",INDEX($E$20:$E$68,MATCH(H78,$G$19:$G$67,0))="C",INDEX($E$20:$E$68,MATCH(H78,$G$19:$G$67,0))="P"),CONCATENATE("A",RIGHT(INDEX($H$20:$H$68,MATCH(H78,$G$19:$G$67,0)),1)),IF(INDEX($E$20:$E$68,MATCH(H78,$G$19:$G$67,0))="PA",IF(MID(INDEX($H$20:$H$68,MATCH(H78,$G$19:$G$67,0)),8,1)="W","AT",CONCATENATE("A",MID(INDEX($H$20:$H$68,MATCH(H78,$G$19:$G$67,0)),8,1))),"")))),""),"")</f>
        <v/>
      </c>
      <c r="H81" s="78" t="str">
        <f>IFERROR(IF($BS$8&lt;&gt;"T",IF(OR(G81="H",LEFT(G81,1)="A"),IF($BS$6="D",0.1,0.5),""),""),"")</f>
        <v/>
      </c>
      <c r="I81" s="225" t="str">
        <f>IFERROR(IF($BS$8&lt;&gt;"T",INDEX($AE$20:$AE$68,MATCH(H78,$G$19:$G$67,0)),""),"")</f>
        <v/>
      </c>
      <c r="J81" s="78" t="str">
        <f>IFERROR(IF($BS$8&lt;&gt;"T",IF(OR(INDEX($E$20:$E$68,MATCH(K78,$G$19:$G$67,0))="H",INDEX($E$20:$E$68,MATCH(K78,$G$19:$G$67,0))="T"),INDEX($E$20:$E$68,MATCH(K78,$G$19:$G$67,0)),IF(INDEX($E$20:$E$68,MATCH(K78,$G$19:$G$67,0))=3,"T",IF(OR(INDEX($E$20:$E$68,MATCH(K78,$G$19:$G$67,0))="A",INDEX($E$20:$E$68,MATCH(K78,$G$19:$G$67,0))="B",INDEX($E$20:$E$68,MATCH(K78,$G$19:$G$67,0))="C",INDEX($E$20:$E$68,MATCH(K78,$G$19:$G$67,0))="P"),CONCATENATE("A",RIGHT(INDEX($H$20:$H$68,MATCH(K78,$G$19:$G$67,0)),1)),IF(INDEX($E$20:$E$68,MATCH(K78,$G$19:$G$67,0))="PA",IF(MID(INDEX($H$20:$H$68,MATCH(K78,$G$19:$G$67,0)),8,1)="W","AT",CONCATENATE("A",MID(INDEX($H$20:$H$68,MATCH(K78,$G$19:$G$67,0)),8,1))),"")))),""),"")</f>
        <v/>
      </c>
      <c r="K81" s="78" t="str">
        <f>IFERROR(IF($BS$8&lt;&gt;"T",IF(OR(J81="H",LEFT(J81,1)="A"),IF($BS$6="D",0.1,0.5),""),""),"")</f>
        <v/>
      </c>
      <c r="L81" s="225" t="str">
        <f>IFERROR(IF($BS$8&lt;&gt;"T",INDEX($AE$20:$AE$68,MATCH(K78,$G$19:$G$67,0)),""),"")</f>
        <v/>
      </c>
      <c r="M81" s="78" t="str">
        <f>IFERROR(IF($BS$8&lt;&gt;"T",IF(OR(INDEX($E$20:$E$68,MATCH(N78,$G$19:$G$67,0))="H",INDEX($E$20:$E$68,MATCH(N78,$G$19:$G$67,0))="T"),INDEX($E$20:$E$68,MATCH(N78,$G$19:$G$67,0)),IF(INDEX($E$20:$E$68,MATCH(N78,$G$19:$G$67,0))=3,"T",IF(OR(INDEX($E$20:$E$68,MATCH(N78,$G$19:$G$67,0))="A",INDEX($E$20:$E$68,MATCH(N78,$G$19:$G$67,0))="B",INDEX($E$20:$E$68,MATCH(N78,$G$19:$G$67,0))="C",INDEX($E$20:$E$68,MATCH(N78,$G$19:$G$67,0))="P"),CONCATENATE("A",RIGHT(INDEX($H$20:$H$68,MATCH(N78,$G$19:$G$67,0)),1)),IF(INDEX($E$20:$E$68,MATCH(N78,$G$19:$G$67,0))="PA",IF(MID(INDEX($H$20:$H$68,MATCH(N78,$G$19:$G$67,0)),8,1)="W","AT",CONCATENATE("A",MID(INDEX($H$20:$H$68,MATCH(N78,$G$19:$G$67,0)),8,1))),"")))),""),"")</f>
        <v/>
      </c>
      <c r="N81" s="78" t="str">
        <f>IFERROR(IF($BS$8&lt;&gt;"T",IF(OR(M81="H",LEFT(M81,1)="A"),IF($BS$6="D",0.1,0.5),""),""),"")</f>
        <v/>
      </c>
      <c r="O81" s="225" t="str">
        <f>IFERROR(IF($BS$8&lt;&gt;"T",INDEX($AE$20:$AE$68,MATCH(N78,$G$19:$G$67,0)),""),"")</f>
        <v/>
      </c>
      <c r="P81" s="78" t="str">
        <f>IFERROR(IF($BS$8&lt;&gt;"T",IF(OR(INDEX($E$20:$E$68,MATCH(Q78,$G$19:$G$67,0))="H",INDEX($E$20:$E$68,MATCH(Q78,$G$19:$G$67,0))="T"),INDEX($E$20:$E$68,MATCH(Q78,$G$19:$G$67,0)),IF(INDEX($E$20:$E$68,MATCH(Q78,$G$19:$G$67,0))=3,"T",IF(OR(INDEX($E$20:$E$68,MATCH(Q78,$G$19:$G$67,0))="A",INDEX($E$20:$E$68,MATCH(Q78,$G$19:$G$67,0))="B",INDEX($E$20:$E$68,MATCH(Q78,$G$19:$G$67,0))="C",INDEX($E$20:$E$68,MATCH(Q78,$G$19:$G$67,0))="P"),CONCATENATE("A",RIGHT(INDEX($H$20:$H$68,MATCH(Q78,$G$19:$G$67,0)),1)),IF(INDEX($E$20:$E$68,MATCH(Q78,$G$19:$G$67,0))="PA",IF(MID(INDEX($H$20:$H$68,MATCH(Q78,$G$19:$G$67,0)),8,1)="W","AT",CONCATENATE("A",MID(INDEX($H$20:$H$68,MATCH(Q78,$G$19:$G$67,0)),8,1))),"")))),""),"")</f>
        <v/>
      </c>
      <c r="Q81" s="78" t="str">
        <f>IFERROR(IF($BS$8&lt;&gt;"T",IF(OR(P81="H",LEFT(P81,1)="A"),IF($BS$6="D",0.1,0.5),""),""),"")</f>
        <v/>
      </c>
      <c r="R81" s="225" t="str">
        <f>IFERROR(IF($BS$8&lt;&gt;"T",INDEX($AE$20:$AE$68,MATCH(Q78,$G$19:$G$67,0)),""),"")</f>
        <v/>
      </c>
      <c r="S81" s="78" t="str">
        <f>IFERROR(IF($BS$8&lt;&gt;"T",IF(OR(INDEX($E$20:$E$68,MATCH(T78,$G$19:$G$67,0))="H",INDEX($E$20:$E$68,MATCH(T78,$G$19:$G$67,0))="T"),INDEX($E$20:$E$68,MATCH(T78,$G$19:$G$67,0)),IF(INDEX($E$20:$E$68,MATCH(T78,$G$19:$G$67,0))=3,"T",IF(OR(INDEX($E$20:$E$68,MATCH(T78,$G$19:$G$67,0))="A",INDEX($E$20:$E$68,MATCH(T78,$G$19:$G$67,0))="B",INDEX($E$20:$E$68,MATCH(T78,$G$19:$G$67,0))="C",INDEX($E$20:$E$68,MATCH(T78,$G$19:$G$67,0))="P"),CONCATENATE("A",RIGHT(INDEX($H$20:$H$68,MATCH(T78,$G$19:$G$67,0)),1)),IF(INDEX($E$20:$E$68,MATCH(T78,$G$19:$G$67,0))="PA",IF(MID(INDEX($H$20:$H$68,MATCH(T78,$G$19:$G$67,0)),8,1)="W","AT",CONCATENATE("A",MID(INDEX($H$20:$H$68,MATCH(T78,$G$19:$G$67,0)),8,1))),"")))),""),"")</f>
        <v/>
      </c>
      <c r="T81" s="78" t="str">
        <f>IFERROR(IF($BS$8&lt;&gt;"T",IF(OR(S81="H",LEFT(S81,1)="A"),IF($BS$6="D",0.1,0.5),""),""),"")</f>
        <v/>
      </c>
      <c r="U81" s="225" t="str">
        <f>IFERROR(IF($BS$8&lt;&gt;"T",INDEX($AE$20:$AE$68,MATCH(T78,$G$19:$G$67,0)),""),"")</f>
        <v/>
      </c>
      <c r="V81" s="78" t="str">
        <f>IFERROR(IF($BS$8&lt;&gt;"T",IF(OR(INDEX($E$20:$E$68,MATCH(W78,$G$19:$G$67,0))="H",INDEX($E$20:$E$68,MATCH(W78,$G$19:$G$67,0))="T"),INDEX($E$20:$E$68,MATCH(W78,$G$19:$G$67,0)),IF(INDEX($E$20:$E$68,MATCH(W78,$G$19:$G$67,0))=3,"T",IF(OR(INDEX($E$20:$E$68,MATCH(W78,$G$19:$G$67,0))="A",INDEX($E$20:$E$68,MATCH(W78,$G$19:$G$67,0))="B",INDEX($E$20:$E$68,MATCH(W78,$G$19:$G$67,0))="C",INDEX($E$20:$E$68,MATCH(W78,$G$19:$G$67,0))="P"),CONCATENATE("A",RIGHT(INDEX($H$20:$H$68,MATCH(W78,$G$19:$G$67,0)),1)),IF(INDEX($E$20:$E$68,MATCH(W78,$G$19:$G$67,0))="PA",IF(MID(INDEX($H$20:$H$68,MATCH(W78,$G$19:$G$67,0)),8,1)="W","AT",CONCATENATE("A",MID(INDEX($H$20:$H$68,MATCH(W78,$G$19:$G$67,0)),8,1))),"")))),""),"")</f>
        <v/>
      </c>
      <c r="W81" s="78" t="str">
        <f>IFERROR(IF($BS$8&lt;&gt;"T",IF(OR(V81="H",LEFT(V81,1)="A"),IF($BS$6="D",0.1,0.5),""),""),"")</f>
        <v/>
      </c>
      <c r="X81" s="225" t="str">
        <f>IFERROR(IF($BS$8&lt;&gt;"T",INDEX($AE$20:$AE$68,MATCH(W78,$G$19:$G$67,0)),""),"")</f>
        <v/>
      </c>
      <c r="Y81" s="78" t="str">
        <f>IFERROR(IF($BS$8&lt;&gt;"T",IF(OR(INDEX($E$20:$E$68,MATCH(Z78,$G$19:$G$67,0))="H",INDEX($E$20:$E$68,MATCH(Z78,$G$19:$G$67,0))="T"),INDEX($E$20:$E$68,MATCH(Z78,$G$19:$G$67,0)),IF(INDEX($E$20:$E$68,MATCH(Z78,$G$19:$G$67,0))=3,"T",IF(OR(INDEX($E$20:$E$68,MATCH(Z78,$G$19:$G$67,0))="A",INDEX($E$20:$E$68,MATCH(Z78,$G$19:$G$67,0))="B",INDEX($E$20:$E$68,MATCH(Z78,$G$19:$G$67,0))="C",INDEX($E$20:$E$68,MATCH(Z78,$G$19:$G$67,0))="P"),CONCATENATE("A",RIGHT(INDEX($H$20:$H$68,MATCH(Z78,$G$19:$G$67,0)),1)),IF(INDEX($E$20:$E$68,MATCH(Z78,$G$19:$G$67,0))="PA",IF(MID(INDEX($H$20:$H$68,MATCH(Z78,$G$19:$G$67,0)),8,1)="W","AT",CONCATENATE("A",MID(INDEX($H$20:$H$68,MATCH(Z78,$G$19:$G$67,0)),8,1))),"")))),""),"")</f>
        <v/>
      </c>
      <c r="Z81" s="78" t="str">
        <f>IFERROR(IF($BS$8&lt;&gt;"T",IF(OR(Y81="H",LEFT(Y81,1)="A"),IF($BS$6="D",0.1,0.5),""),""),"")</f>
        <v/>
      </c>
      <c r="AA81" s="225" t="str">
        <f>IFERROR(IF($BS$8&lt;&gt;"T",INDEX($AE$20:$AE$68,MATCH(Z78,$G$19:$G$67,0)),""),"")</f>
        <v/>
      </c>
      <c r="AB81" s="78" t="str">
        <f>IFERROR(IF($BS$8&lt;&gt;"T",IF(OR(INDEX($E$20:$E$68,MATCH(AC78,$G$19:$G$67,0))="H",INDEX($E$20:$E$68,MATCH(AC78,$G$19:$G$67,0))="T"),INDEX($E$20:$E$68,MATCH(AC78,$G$19:$G$67,0)),IF(INDEX($E$20:$E$68,MATCH(AC78,$G$19:$G$67,0))=3,"T",IF(OR(INDEX($E$20:$E$68,MATCH(AC78,$G$19:$G$67,0))="A",INDEX($E$20:$E$68,MATCH(AC78,$G$19:$G$67,0))="B",INDEX($E$20:$E$68,MATCH(AC78,$G$19:$G$67,0))="C",INDEX($E$20:$E$68,MATCH(AC78,$G$19:$G$67,0))="P"),CONCATENATE("A",RIGHT(INDEX($H$20:$H$68,MATCH(AC78,$G$19:$G$67,0)),1)),IF(INDEX($E$20:$E$68,MATCH(AC78,$G$19:$G$67,0))="PA",IF(MID(INDEX($H$20:$H$68,MATCH(AC78,$G$19:$G$67,0)),8,1)="W","AT",CONCATENATE("A",MID(INDEX($H$20:$H$68,MATCH(AC78,$G$19:$G$67,0)),8,1))),"")))),""),"")</f>
        <v/>
      </c>
      <c r="AC81" s="78" t="str">
        <f>IFERROR(IF($BS$8&lt;&gt;"T",IF(OR(AB81="H",LEFT(AB81,1)="A"),IF($BS$6="D",0.1,0.5),""),""),"")</f>
        <v/>
      </c>
      <c r="AD81" s="225" t="str">
        <f>IFERROR(IF($BS$8&lt;&gt;"T",INDEX($AE$20:$AE$68,MATCH(AC78,$G$19:$G$67,0)),""),"")</f>
        <v/>
      </c>
      <c r="AE81" s="78" t="str">
        <f>IFERROR(IF($BS$8&lt;&gt;"T",IF(OR(INDEX($E$20:$E$68,MATCH(AF78,$G$19:$G$67,0))="H",INDEX($E$20:$E$68,MATCH(AF78,$G$19:$G$67,0))="T"),INDEX($E$20:$E$68,MATCH(AF78,$G$19:$G$67,0)),IF(INDEX($E$20:$E$68,MATCH(AF78,$G$19:$G$67,0))=3,"T",IF(OR(INDEX($E$20:$E$68,MATCH(AF78,$G$19:$G$67,0))="A",INDEX($E$20:$E$68,MATCH(AF78,$G$19:$G$67,0))="B",INDEX($E$20:$E$68,MATCH(AF78,$G$19:$G$67,0))="C",INDEX($E$20:$E$68,MATCH(AF78,$G$19:$G$67,0))="P"),CONCATENATE("A",RIGHT(INDEX($H$20:$H$68,MATCH(AF78,$G$19:$G$67,0)),1)),IF(INDEX($E$20:$E$68,MATCH(AF78,$G$19:$G$67,0))="PA",IF(MID(INDEX($H$20:$H$68,MATCH(AF78,$G$19:$G$67,0)),8,1)="W","AT",CONCATENATE("A",MID(INDEX($H$20:$H$68,MATCH(AF78,$G$19:$G$67,0)),8,1))),"")))),""),"")</f>
        <v/>
      </c>
      <c r="AF81" s="78" t="str">
        <f>IFERROR(IF($BS$8&lt;&gt;"T",IF(OR(AE81="H",LEFT(AE81,1)="A"),IF($BS$6="D",0.1,0.5),""),""),"")</f>
        <v/>
      </c>
      <c r="AG81" s="225" t="str">
        <f>IFERROR(IF($BS$8&lt;&gt;"T",INDEX($AE$20:$AE$68,MATCH(AF78,$G$19:$G$67,0)),""),"")</f>
        <v/>
      </c>
      <c r="AH81" s="78" t="str">
        <f>IFERROR(IF($BS$8&lt;&gt;"T",IF(OR(INDEX($E$20:$E$68,MATCH(AI78,$G$19:$G$67,0))="H",INDEX($E$20:$E$68,MATCH(AI78,$G$19:$G$67,0))="T"),INDEX($E$20:$E$68,MATCH(AI78,$G$19:$G$67,0)),IF(INDEX($E$20:$E$68,MATCH(AI78,$G$19:$G$67,0))=3,"T",IF(OR(INDEX($E$20:$E$68,MATCH(AI78,$G$19:$G$67,0))="A",INDEX($E$20:$E$68,MATCH(AI78,$G$19:$G$67,0))="B",INDEX($E$20:$E$68,MATCH(AI78,$G$19:$G$67,0))="C",INDEX($E$20:$E$68,MATCH(AI78,$G$19:$G$67,0))="P"),CONCATENATE("A",RIGHT(INDEX($H$20:$H$68,MATCH(AI78,$G$19:$G$67,0)),1)),IF(INDEX($E$20:$E$68,MATCH(AI78,$G$19:$G$67,0))="PA",IF(MID(INDEX($H$20:$H$68,MATCH(AI78,$G$19:$G$67,0)),8,1)="W","AT",CONCATENATE("A",MID(INDEX($H$20:$H$68,MATCH(AI78,$G$19:$G$67,0)),8,1))),"")))),""),"")</f>
        <v/>
      </c>
      <c r="AI81" s="78" t="str">
        <f>IFERROR(IF($BS$8&lt;&gt;"T",IF(OR(AH81="H",LEFT(AH81,1)="A"),IF($BS$6="D",0.1,0.5),""),""),"")</f>
        <v/>
      </c>
      <c r="AJ81" s="226" t="str">
        <f>IFERROR(IF($BS$8&lt;&gt;"T",INDEX($AE$20:$AE$68,MATCH(AI78,$G$19:$G$67,0)),""),"")</f>
        <v/>
      </c>
      <c r="AK81" s="127" t="str">
        <f>IFERROR(IF($BS$8&lt;&gt;"T",IF(OR(INDEX($E$20:$E$68,MATCH(AL78,$G$19:$G$67,0))="H",INDEX($E$20:$E$68,MATCH(AL78,$G$19:$G$67,0))="T"),INDEX($E$20:$E$68,MATCH(AL78,$G$19:$G$67,0)),IF(INDEX($E$20:$E$68,MATCH(AL78,$G$19:$G$67,0))=3,"T",IF(OR(INDEX($E$20:$E$68,MATCH(AL78,$G$19:$G$67,0))="A",INDEX($E$20:$E$68,MATCH(AL78,$G$19:$G$67,0))="B",INDEX($E$20:$E$68,MATCH(AL78,$G$19:$G$67,0))="C",INDEX($E$20:$E$68,MATCH(AL78,$G$19:$G$67,0))="P"),CONCATENATE("A",RIGHT(INDEX($H$20:$H$68,MATCH(AL78,$G$19:$G$67,0)),1)),IF(INDEX($E$20:$E$68,MATCH(AL78,$G$19:$G$67,0))="PA",IF(MID(INDEX($H$20:$H$68,MATCH(AL78,$G$19:$G$67,0)),8,1)="W","AT",CONCATENATE("A",MID(INDEX($H$20:$H$68,MATCH(AL78,$G$19:$G$67,0)),8,1))),"")))),""),"")</f>
        <v/>
      </c>
      <c r="AL81" s="127" t="str">
        <f>IFERROR(IF($BS$8&lt;&gt;"T",IF(OR(AK81="H",LEFT(AK81,1)="A"),IF($BS$6="D",0.1,0.5),""),""),"")</f>
        <v/>
      </c>
      <c r="AM81" s="226" t="str">
        <f>IFERROR(IF($BS$8&lt;&gt;"T",INDEX($AE$20:$AE$68,MATCH(AL78,$G$19:$G$67,0)),""),"")</f>
        <v/>
      </c>
      <c r="BY81" s="108"/>
      <c r="BZ81" s="108"/>
      <c r="DW81" s="111"/>
      <c r="DX81" s="111"/>
    </row>
    <row r="91" spans="5:128" x14ac:dyDescent="0.3">
      <c r="F91" s="74" t="s">
        <v>1366</v>
      </c>
      <c r="G91" s="140">
        <v>45316</v>
      </c>
      <c r="H91" s="141"/>
      <c r="I91" s="143" t="s">
        <v>1367</v>
      </c>
      <c r="J91" s="12" t="s">
        <v>1368</v>
      </c>
    </row>
    <row r="92" spans="5:128" x14ac:dyDescent="0.3">
      <c r="G92" s="140"/>
      <c r="H92" s="141"/>
      <c r="I92" s="143" t="s">
        <v>1371</v>
      </c>
      <c r="J92" s="12" t="s">
        <v>1374</v>
      </c>
    </row>
    <row r="93" spans="5:128" x14ac:dyDescent="0.3">
      <c r="G93" s="140"/>
      <c r="H93" s="141"/>
      <c r="I93" s="143" t="s">
        <v>1372</v>
      </c>
      <c r="J93" s="12" t="s">
        <v>1373</v>
      </c>
    </row>
    <row r="94" spans="5:128" x14ac:dyDescent="0.3">
      <c r="G94" s="140"/>
      <c r="H94" s="141"/>
      <c r="I94" s="143" t="s">
        <v>1375</v>
      </c>
      <c r="J94" s="12" t="s">
        <v>1376</v>
      </c>
    </row>
    <row r="95" spans="5:128" x14ac:dyDescent="0.3">
      <c r="G95" s="140"/>
      <c r="H95" s="141"/>
      <c r="I95" s="143" t="s">
        <v>1385</v>
      </c>
      <c r="J95" s="12" t="s">
        <v>1386</v>
      </c>
    </row>
    <row r="96" spans="5:128" x14ac:dyDescent="0.3">
      <c r="G96" s="140"/>
      <c r="H96" s="141"/>
      <c r="I96" s="143" t="s">
        <v>1387</v>
      </c>
      <c r="J96" s="12" t="s">
        <v>1388</v>
      </c>
    </row>
    <row r="97" spans="7:10" x14ac:dyDescent="0.3">
      <c r="G97" s="140"/>
      <c r="H97" s="141"/>
      <c r="I97" s="143" t="s">
        <v>1389</v>
      </c>
      <c r="J97" s="12" t="s">
        <v>1390</v>
      </c>
    </row>
    <row r="98" spans="7:10" x14ac:dyDescent="0.3">
      <c r="G98" s="140"/>
      <c r="H98" s="141"/>
      <c r="I98" s="143" t="s">
        <v>1392</v>
      </c>
      <c r="J98" s="12" t="s">
        <v>1393</v>
      </c>
    </row>
    <row r="99" spans="7:10" x14ac:dyDescent="0.3">
      <c r="G99" s="140"/>
      <c r="H99" s="141"/>
      <c r="I99" s="143" t="s">
        <v>1394</v>
      </c>
      <c r="J99" s="12" t="s">
        <v>1476</v>
      </c>
    </row>
    <row r="100" spans="7:10" x14ac:dyDescent="0.3">
      <c r="G100" s="140"/>
      <c r="H100" s="141"/>
      <c r="I100" s="143" t="s">
        <v>1814</v>
      </c>
      <c r="J100" s="12" t="s">
        <v>1815</v>
      </c>
    </row>
    <row r="101" spans="7:10" x14ac:dyDescent="0.3">
      <c r="G101" s="140">
        <v>45594</v>
      </c>
      <c r="H101" s="141"/>
      <c r="I101" s="143" t="s">
        <v>2024</v>
      </c>
      <c r="J101" s="12" t="s">
        <v>2026</v>
      </c>
    </row>
    <row r="102" spans="7:10" x14ac:dyDescent="0.3">
      <c r="G102" s="140">
        <v>45601</v>
      </c>
      <c r="H102" s="140"/>
      <c r="I102" s="143" t="s">
        <v>2027</v>
      </c>
      <c r="J102" s="12" t="s">
        <v>2028</v>
      </c>
    </row>
    <row r="103" spans="7:10" x14ac:dyDescent="0.3">
      <c r="G103" s="140">
        <v>45602</v>
      </c>
      <c r="H103" s="141"/>
      <c r="I103" s="143" t="s">
        <v>2032</v>
      </c>
      <c r="J103" s="12" t="s">
        <v>2033</v>
      </c>
    </row>
    <row r="104" spans="7:10" x14ac:dyDescent="0.3">
      <c r="G104" s="140">
        <v>45606</v>
      </c>
      <c r="H104" s="141"/>
      <c r="I104" s="143" t="s">
        <v>2034</v>
      </c>
      <c r="J104" s="12" t="s">
        <v>2035</v>
      </c>
    </row>
    <row r="105" spans="7:10" x14ac:dyDescent="0.3">
      <c r="G105" s="140">
        <v>45607</v>
      </c>
      <c r="H105" s="141"/>
      <c r="I105" s="143" t="s">
        <v>2085</v>
      </c>
      <c r="J105" s="12" t="s">
        <v>2086</v>
      </c>
    </row>
  </sheetData>
  <sheetProtection algorithmName="SHA-512" hashValue="TjpTuBsg8A+bQ2lF8HBfWXj/HVezd8Zcpa0MIkWNPGr7xesfDNuFP8fTzSqLw1onvYwDs1LpASY3ZLpEWKEiFg==" saltValue="GMZOrUq7BWp0tjnX1wwoOg==" spinCount="100000" sheet="1" formatColumns="0" deleteColumns="0" selectLockedCells="1"/>
  <mergeCells count="32">
    <mergeCell ref="A17:B17"/>
    <mergeCell ref="A7:D7"/>
    <mergeCell ref="C17:D17"/>
    <mergeCell ref="A9:D9"/>
    <mergeCell ref="F9:AC9"/>
    <mergeCell ref="J17:AC17"/>
    <mergeCell ref="A5:D5"/>
    <mergeCell ref="A6:D6"/>
    <mergeCell ref="A8:D8"/>
    <mergeCell ref="G1:AC4"/>
    <mergeCell ref="Q5:AC5"/>
    <mergeCell ref="N6:AC6"/>
    <mergeCell ref="F6:L6"/>
    <mergeCell ref="F5:I5"/>
    <mergeCell ref="BR9:BT9"/>
    <mergeCell ref="AD16:AD17"/>
    <mergeCell ref="H16:I17"/>
    <mergeCell ref="AV17:BO17"/>
    <mergeCell ref="FB16:FG16"/>
    <mergeCell ref="BX17:CF17"/>
    <mergeCell ref="CG17:CM17"/>
    <mergeCell ref="CN17:CP17"/>
    <mergeCell ref="DD11:DG11"/>
    <mergeCell ref="DF17:DG17"/>
    <mergeCell ref="Y11:AB11"/>
    <mergeCell ref="BU2:BV2"/>
    <mergeCell ref="CT16:DB16"/>
    <mergeCell ref="CT17:CU17"/>
    <mergeCell ref="CV17:CW17"/>
    <mergeCell ref="CY17:DB17"/>
    <mergeCell ref="CT11:DB11"/>
    <mergeCell ref="BX2:CA2"/>
  </mergeCells>
  <phoneticPr fontId="10" type="noConversion"/>
  <conditionalFormatting sqref="A6:C6 A7 A8:C12 A13:B14 A15:C16">
    <cfRule type="containsText" dxfId="266" priority="469" operator="containsText" text="ACROBATIC">
      <formula>NOT(ISERROR(SEARCH("ACROBATIC",A6)))</formula>
    </cfRule>
    <cfRule type="containsText" dxfId="265" priority="470" operator="containsText" text="HYBRID">
      <formula>NOT(ISERROR(SEARCH("HYBRID",A6)))</formula>
    </cfRule>
    <cfRule type="containsText" dxfId="264" priority="466" operator="containsText" text=" ">
      <formula>NOT(ISERROR(SEARCH(" ",A6)))</formula>
    </cfRule>
    <cfRule type="containsText" dxfId="263" priority="467" operator="containsText" text="BONUSES">
      <formula>NOT(ISERROR(SEARCH("BONUSES",A6)))</formula>
    </cfRule>
    <cfRule type="containsText" dxfId="262" priority="468" operator="containsText" text="TRANSITION">
      <formula>NOT(ISERROR(SEARCH("TRANSITION",A6)))</formula>
    </cfRule>
  </conditionalFormatting>
  <conditionalFormatting sqref="C19 C21 C23 C25 C27 C29 C31 C33 C35 C37 C39 C41 C43 C45 C47 C49 C51 C53 C55 C57 C59 C61 C63 C65 C67 C69">
    <cfRule type="cellIs" dxfId="261" priority="421" operator="lessThan">
      <formula>0</formula>
    </cfRule>
  </conditionalFormatting>
  <conditionalFormatting sqref="C21 C23 C25 C27 C29 C31 C33 C35 C37 C39 C41 C43 C45 C47 C49 C51 C53 C55 C57 C59 C61 C63 C65 C67">
    <cfRule type="expression" dxfId="260" priority="439">
      <formula>AND(B21&lt;&gt;"",E19="",C21="")</formula>
    </cfRule>
  </conditionalFormatting>
  <conditionalFormatting sqref="C14:D14">
    <cfRule type="expression" dxfId="259" priority="416" stopIfTrue="1">
      <formula>AND($F$8&lt;&gt;"",$C$13="Y")</formula>
    </cfRule>
    <cfRule type="notContainsBlanks" dxfId="258" priority="422">
      <formula>LEN(TRIM(C14))&gt;0</formula>
    </cfRule>
  </conditionalFormatting>
  <conditionalFormatting sqref="C19:D19 C21:D21 C23:D23 C25:D25 C27:D27 C29:D29 C31:D31 C33:D33 C35:D35 C37:D37 C39:D39 C41:D41 C43:D43 C45:D45 C47:D47 C49:D49 C51:D51 C53:D53 C55:D55 C57:D57 C59:D59 C61:D61 C63:D63 C65:D65 C67:D67">
    <cfRule type="expression" dxfId="257" priority="10">
      <formula>$BT19="X"</formula>
    </cfRule>
  </conditionalFormatting>
  <conditionalFormatting sqref="C19:D68">
    <cfRule type="expression" dxfId="256" priority="10926">
      <formula>$BS19&lt;=$BR19</formula>
    </cfRule>
  </conditionalFormatting>
  <conditionalFormatting sqref="C21:D21 C23:D23 C25:D25 C27:D27 C29:D29 C31:D31 C33:D33 C35:D35 C37:D37 C39:D39 C41:D41 C43:D43 C45:D45 C47:D47 C49:D49 C51:D51 C53:D53 C55:D55 C57:D57 C59:D59 C61:D61 C63:D63 C65:D65 C67:D67">
    <cfRule type="expression" dxfId="255" priority="10927" stopIfTrue="1">
      <formula>$BR21=""</formula>
    </cfRule>
  </conditionalFormatting>
  <conditionalFormatting sqref="C69:D69 C19:D19 C21:D21 C23:D23 C25:D25 C27:D27 C29:D29 C31:D31 C33:D33 C35:D35 C37:D37 C39:D39 C41:D41 C43:D43 C45:D45 C47:D47 C49:D49 C51:D51 C53:D53 C55:D55 C57:D57 C59:D59 C61:D61 C63:D63 C65:D65 C67:D67">
    <cfRule type="expression" dxfId="254" priority="1673">
      <formula>AND(C19="",A19=0)</formula>
    </cfRule>
  </conditionalFormatting>
  <conditionalFormatting sqref="C69:D69 C71:D71">
    <cfRule type="expression" dxfId="253" priority="1285" stopIfTrue="1">
      <formula>$BQ69=""</formula>
    </cfRule>
  </conditionalFormatting>
  <conditionalFormatting sqref="C69:D69">
    <cfRule type="expression" dxfId="252" priority="10870">
      <formula>AND(OR($BR69&gt;$D$12,AND($E70="H",$AB$14=1)),$Q$14="")</formula>
    </cfRule>
  </conditionalFormatting>
  <conditionalFormatting sqref="C69:D71">
    <cfRule type="expression" dxfId="251" priority="8896">
      <formula>$BR69&lt;=$BQ69</formula>
    </cfRule>
  </conditionalFormatting>
  <conditionalFormatting sqref="C72:D72">
    <cfRule type="expression" dxfId="250" priority="1284">
      <formula>$BP72&lt;=$BO72</formula>
    </cfRule>
  </conditionalFormatting>
  <conditionalFormatting sqref="C73:D73">
    <cfRule type="expression" dxfId="249" priority="459" stopIfTrue="1">
      <formula>$AI73=""</formula>
    </cfRule>
    <cfRule type="expression" dxfId="248" priority="460">
      <formula>$AJ73&lt;=$AI73</formula>
    </cfRule>
  </conditionalFormatting>
  <conditionalFormatting sqref="C74:D77">
    <cfRule type="expression" dxfId="247" priority="1676">
      <formula>$AJ74&lt;=$AI74</formula>
    </cfRule>
  </conditionalFormatting>
  <conditionalFormatting sqref="C75:D75">
    <cfRule type="expression" dxfId="246" priority="1674" stopIfTrue="1">
      <formula>$AI75=""</formula>
    </cfRule>
  </conditionalFormatting>
  <conditionalFormatting sqref="D11:D12">
    <cfRule type="containsText" dxfId="245" priority="424" operator="containsText" text="BONUSES">
      <formula>NOT(ISERROR(SEARCH("BONUSES",D11)))</formula>
    </cfRule>
    <cfRule type="containsText" dxfId="244" priority="425" operator="containsText" text="TRANSITION">
      <formula>NOT(ISERROR(SEARCH("TRANSITION",D11)))</formula>
    </cfRule>
    <cfRule type="containsText" dxfId="243" priority="423" operator="containsText" text=" ">
      <formula>NOT(ISERROR(SEARCH(" ",D11)))</formula>
    </cfRule>
    <cfRule type="containsText" dxfId="242" priority="427" operator="containsText" text="HYBRID">
      <formula>NOT(ISERROR(SEARCH("HYBRID",D11)))</formula>
    </cfRule>
    <cfRule type="containsText" dxfId="241" priority="426" operator="containsText" text="ACROBATIC">
      <formula>NOT(ISERROR(SEARCH("ACROBATIC",D11)))</formula>
    </cfRule>
  </conditionalFormatting>
  <conditionalFormatting sqref="D21 D23 D25 D27 D29 D31 D33 D35 D37 D39 D41 D43 D45 D47 D49 D51 D53 D55 D57 D59 D61 D63 D65 D67">
    <cfRule type="expression" dxfId="240" priority="438">
      <formula>AND(B21&lt;&gt;"",E19="",D21="")</formula>
    </cfRule>
  </conditionalFormatting>
  <conditionalFormatting sqref="F5 F9">
    <cfRule type="expression" dxfId="239" priority="15">
      <formula>AND(F5="",$F$19&lt;&gt;"")</formula>
    </cfRule>
  </conditionalFormatting>
  <conditionalFormatting sqref="F19 F21 F23 F25 F27 F29 F31 F33 F35 F37 F39 F41 F43 F45 F47 F49 F51 F53 F55 F57 F59 F61 F63 F65 F67 F69:F72">
    <cfRule type="containsText" dxfId="238" priority="454" operator="containsText" text="Hybrid">
      <formula>NOT(ISERROR(SEARCH("Hybrid",F19)))</formula>
    </cfRule>
    <cfRule type="containsText" dxfId="237" priority="453" operator="containsText" text="Technical Required Element">
      <formula>NOT(ISERROR(SEARCH("Technical Required Element",F19)))</formula>
    </cfRule>
    <cfRule type="containsText" dxfId="236" priority="455" operator="containsText" text="Acrobatic">
      <formula>NOT(ISERROR(SEARCH("Acrobatic",F19)))</formula>
    </cfRule>
    <cfRule type="cellIs" dxfId="235" priority="409" operator="equal">
      <formula>"Connected Surface Movment"</formula>
    </cfRule>
    <cfRule type="containsText" dxfId="234" priority="456" operator="containsText" text="Transition">
      <formula>NOT(ISERROR(SEARCH("Transition",F19)))</formula>
    </cfRule>
  </conditionalFormatting>
  <conditionalFormatting sqref="F19 F21 F23 F25 F27 F29 F31 F33 F35 F37 F39 F41 F43 F45 F47 F49 F51 F53 F55 F57 F59 F61 F63 F65 F67">
    <cfRule type="expression" dxfId="233" priority="403" stopIfTrue="1">
      <formula>AND(F19&lt;&gt;"",OR(DG19="X",AND(F19=F17,F19&lt;&gt;"Transition - Surface Connection"),AND(F19=F21,F19&lt;&gt;"Transition - Surface Connection"),AT19="No"))</formula>
    </cfRule>
  </conditionalFormatting>
  <conditionalFormatting sqref="F69:F72 F19 F21 F23 F25 F27 F29 F31 F33 F35 F37 F39 F41 F43 F45 F47 F49 F51 F53 F55 F57 F59 F61 F63 F65 F67">
    <cfRule type="expression" dxfId="232" priority="417">
      <formula>AND(F19="",A19&lt;&gt;"")</formula>
    </cfRule>
  </conditionalFormatting>
  <conditionalFormatting sqref="F69:F72">
    <cfRule type="expression" dxfId="231" priority="415" stopIfTrue="1">
      <formula>AND(F69="Hybrid",F67="Hybrid")</formula>
    </cfRule>
  </conditionalFormatting>
  <conditionalFormatting sqref="G19:G72">
    <cfRule type="cellIs" dxfId="230" priority="9" operator="equal">
      <formula>0</formula>
    </cfRule>
  </conditionalFormatting>
  <conditionalFormatting sqref="G76">
    <cfRule type="expression" dxfId="229" priority="369">
      <formula>G76=""</formula>
    </cfRule>
    <cfRule type="expression" dxfId="228" priority="368" stopIfTrue="1">
      <formula>G76&lt;&gt;""</formula>
    </cfRule>
  </conditionalFormatting>
  <conditionalFormatting sqref="G81">
    <cfRule type="expression" dxfId="227" priority="297">
      <formula>G81=""</formula>
    </cfRule>
    <cfRule type="expression" dxfId="226" priority="296" stopIfTrue="1">
      <formula>G81&lt;&gt;""</formula>
    </cfRule>
  </conditionalFormatting>
  <conditionalFormatting sqref="G12:R13">
    <cfRule type="cellIs" dxfId="225" priority="448" stopIfTrue="1" operator="equal">
      <formula>0</formula>
    </cfRule>
  </conditionalFormatting>
  <conditionalFormatting sqref="G19:AD19 G21:AD21 G23:AD23 G25:AD25 G27:AD27 G29:AD29 G31:AD31 G33:AD33 G35:AD35 G37:AD37 G39:AD39 G41:AD41 G43:AD43 G45:AD45 G47:AD47 G49:AD49 G51:AD51 G53:AD53 G55:AD55 G57:AD57 G59:AD59 G61:AD61 G63:AD63 G65:AD65 G67:AD67 G69:AC69">
    <cfRule type="expression" dxfId="224" priority="32">
      <formula>AND($F19&lt;&gt;"",$F21="")</formula>
    </cfRule>
  </conditionalFormatting>
  <conditionalFormatting sqref="H76">
    <cfRule type="expression" dxfId="223" priority="367">
      <formula>G76=""</formula>
    </cfRule>
    <cfRule type="expression" dxfId="222" priority="366" stopIfTrue="1">
      <formula>G76&lt;&gt;""</formula>
    </cfRule>
  </conditionalFormatting>
  <conditionalFormatting sqref="H81">
    <cfRule type="expression" dxfId="221" priority="5">
      <formula>G81=""</formula>
    </cfRule>
    <cfRule type="expression" dxfId="220" priority="4" stopIfTrue="1">
      <formula>G81&lt;&gt;""</formula>
    </cfRule>
  </conditionalFormatting>
  <conditionalFormatting sqref="H13:R13">
    <cfRule type="expression" dxfId="219" priority="407" stopIfTrue="1">
      <formula>H13&gt;H12</formula>
    </cfRule>
    <cfRule type="expression" dxfId="218" priority="449">
      <formula>H$13=H$12</formula>
    </cfRule>
    <cfRule type="expression" dxfId="217" priority="447">
      <formula>H$13&lt;H$12</formula>
    </cfRule>
  </conditionalFormatting>
  <conditionalFormatting sqref="I76">
    <cfRule type="expression" dxfId="216" priority="365">
      <formula>G76=""</formula>
    </cfRule>
    <cfRule type="expression" dxfId="215" priority="364" stopIfTrue="1">
      <formula>G76&lt;&gt;""</formula>
    </cfRule>
  </conditionalFormatting>
  <conditionalFormatting sqref="I81">
    <cfRule type="expression" dxfId="214" priority="293">
      <formula>G81=""</formula>
    </cfRule>
    <cfRule type="expression" dxfId="213" priority="292" stopIfTrue="1">
      <formula>G81&lt;&gt;""</formula>
    </cfRule>
  </conditionalFormatting>
  <conditionalFormatting sqref="J13">
    <cfRule type="expression" dxfId="212" priority="404">
      <formula>$F$8="Acrobatic"</formula>
    </cfRule>
  </conditionalFormatting>
  <conditionalFormatting sqref="J19 J21 J23 J25 J27 J29 J31 J33 J35 J37 J39 J41 J43 J45 J47 J49 J51 J53 J55 J57 J59 J61 J63 J65 J67 J69">
    <cfRule type="expression" dxfId="211" priority="40" stopIfTrue="1">
      <formula>AND(LEFT(H20,4)&lt;&gt;"Acro",J19&lt;&gt;"",J20=0,H19&lt;&gt;"No DD")</formula>
    </cfRule>
  </conditionalFormatting>
  <conditionalFormatting sqref="J19 J21 J23 J25 J27 J29 J31 J33 J35 J37 J39 J41 J43 J45 J47 J49 J51 J53 J55 J57 J59 J61 J63 J65 J67">
    <cfRule type="expression" dxfId="209" priority="10898">
      <formula>AND($E20="PA",$CQ$15="YES",J19=$CR$15)</formula>
    </cfRule>
    <cfRule type="expression" dxfId="208" priority="20" stopIfTrue="1">
      <formula>AND(E20&lt;&gt;"",J19="")</formula>
    </cfRule>
    <cfRule type="expression" dxfId="207" priority="1785">
      <formula>OR(AND($J19&lt;&gt;"",$E20="B",$CV$12=$J19),AND($J19&lt;&gt;"",$E20="C",$CX$12=$J19),AND($J19&lt;&gt;"",$E20="P",$CY$12=$J19))</formula>
    </cfRule>
  </conditionalFormatting>
  <conditionalFormatting sqref="J19:J68">
    <cfRule type="expression" dxfId="206" priority="8" stopIfTrue="1">
      <formula>AND(F19="Transition",J19&lt;&gt;"")</formula>
    </cfRule>
    <cfRule type="containsBlanks" priority="37" stopIfTrue="1">
      <formula>LEN(TRIM(J19))=0</formula>
    </cfRule>
  </conditionalFormatting>
  <conditionalFormatting sqref="J76 AP76">
    <cfRule type="expression" dxfId="205" priority="363">
      <formula>G76=""</formula>
    </cfRule>
    <cfRule type="expression" dxfId="204" priority="362" stopIfTrue="1">
      <formula>G76&lt;&gt;""</formula>
    </cfRule>
  </conditionalFormatting>
  <conditionalFormatting sqref="J81">
    <cfRule type="expression" dxfId="203" priority="226" stopIfTrue="1">
      <formula>J81&lt;&gt;""</formula>
    </cfRule>
    <cfRule type="expression" dxfId="202" priority="227">
      <formula>J81=""</formula>
    </cfRule>
  </conditionalFormatting>
  <conditionalFormatting sqref="J19:L19 J21:L21 J23:L23 J25:L25 J27:L27 J29:L29 J31:L31 J33:L33 J35:L35 J37:L37 J39:L39 J41:L41 J43:L43 J45:L45 J47:L47 J49:L49 J51:L51 J53:L53 J55:L55 J57:L57 J59:L59 J61:L61 J63:L63 J65:L65 J67:L67">
    <cfRule type="expression" dxfId="201" priority="1">
      <formula>AND($F19="Hybrid - Thrust + 2 connections",$FI19="X")</formula>
    </cfRule>
  </conditionalFormatting>
  <conditionalFormatting sqref="J18:R18">
    <cfRule type="expression" dxfId="200" priority="21">
      <formula>$Q$14&lt;&gt;"X"</formula>
    </cfRule>
  </conditionalFormatting>
  <conditionalFormatting sqref="J19:R19 J21:R21 J23:R23 J25:R25 J27:R27 J29:R29 J31:R31 J33:R33 J35:R35 J37:R37 J39:R39 J41:R41 J43:R43 J45:R45 J47:R47 J49:R49 J51:R51 J53:R53 J55:R55 J57:R57 J59:R59 J61:R61 J63:R63 J65:R65 J67:R67">
    <cfRule type="expression" dxfId="199" priority="18" stopIfTrue="1">
      <formula>BX19="X"</formula>
    </cfRule>
  </conditionalFormatting>
  <conditionalFormatting sqref="J19:AC19 J21:AC21 J23:AC23 J25:AC25 J27:AC27 J29:AC29 J31:AC31 J33:AC33 J35:AC35 J37:AC37 J39:AC39 J41:AC41 J43:AC43 J45:AC45 J47:AC47 J49:AC49 J51:AC51 J53:AC53 J55:AC55 J57:AC57 J59:AC59 J61:AC61 J63:AC63 J65:AC65 J67:AC67">
    <cfRule type="expression" dxfId="198" priority="11458">
      <formula>AND(J19=$EF20,J19&lt;&gt;"")</formula>
    </cfRule>
    <cfRule type="expression" dxfId="197" priority="11456" stopIfTrue="1">
      <formula>AND(J19&lt;&gt;"",J20=0,$H19&lt;&gt;"No DD")</formula>
    </cfRule>
  </conditionalFormatting>
  <conditionalFormatting sqref="J19:AD68 J69:AC69">
    <cfRule type="expression" dxfId="195" priority="16" stopIfTrue="1">
      <formula>AND(OR($F19="Transition",$F19="Transition - Surface Connection"),$F21="")</formula>
    </cfRule>
  </conditionalFormatting>
  <conditionalFormatting sqref="J20:AD20 J22:AD22 J24:AD24 J26:AD26 J28:AD28 J30:AD30 J32:AD32 J34:AD34 J36:AD36 J38:AD38 J40:AD40 J42:AD42 J44:AD44 J46:AD46 J48:AD48 J50:AD50 J52:AD52 J54:AD54 J56:AD56 J58:AD58 J60:AD60 J62:AD62 J64:AD64 J66:AD66 J68:AD68">
    <cfRule type="cellIs" dxfId="194" priority="382" stopIfTrue="1" operator="equal">
      <formula>0</formula>
    </cfRule>
  </conditionalFormatting>
  <conditionalFormatting sqref="K7">
    <cfRule type="expression" dxfId="193" priority="401">
      <formula>$M$7="X"</formula>
    </cfRule>
  </conditionalFormatting>
  <conditionalFormatting sqref="K8">
    <cfRule type="expression" dxfId="192" priority="399">
      <formula>$M$8="X"</formula>
    </cfRule>
  </conditionalFormatting>
  <conditionalFormatting sqref="K19 K21 K23 K25 K27 K29 K31 K33 K35 K37 K39 K41 K43 K45 K47 K49 K51 K53 K55 K57 K59 K61 K63 K65 K67">
    <cfRule type="expression" dxfId="191" priority="11221">
      <formula>OR(AND($K19&lt;&gt;"",$E20="B",$CW$12=$K19),AND($K19&lt;&gt;"",$E20="P",$CZ$12=$K19))</formula>
    </cfRule>
  </conditionalFormatting>
  <conditionalFormatting sqref="K76">
    <cfRule type="expression" dxfId="190" priority="206" stopIfTrue="1">
      <formula>K76&lt;&gt;""</formula>
    </cfRule>
    <cfRule type="expression" dxfId="189" priority="207">
      <formula>K76=""</formula>
    </cfRule>
  </conditionalFormatting>
  <conditionalFormatting sqref="K81">
    <cfRule type="expression" dxfId="188" priority="289">
      <formula>J81=""</formula>
    </cfRule>
    <cfRule type="expression" dxfId="187" priority="288" stopIfTrue="1">
      <formula>J81&lt;&gt;""</formula>
    </cfRule>
  </conditionalFormatting>
  <conditionalFormatting sqref="K19:L19 K21:L21 K23:L23 K25:L25 K27:L27 K29:L29 K31:L31 K33:L33 K35:L35 K37:L37 K39:L39 K41:L41 K43:L43 K45:L45 K47:L47 K49:L49 K51:L51 K53:L53 K55:L55 K57:L57 K59:L59 K61:L61 K63:L63 K65:L65 K67:L67">
    <cfRule type="expression" dxfId="186" priority="3">
      <formula>AND($F19="Hybrid - Thrust + 2 connections",K19="")</formula>
    </cfRule>
  </conditionalFormatting>
  <conditionalFormatting sqref="K13:M13">
    <cfRule type="expression" dxfId="185" priority="405" stopIfTrue="1">
      <formula>(AND(K12&lt;1,K13&gt;K12))</formula>
    </cfRule>
  </conditionalFormatting>
  <conditionalFormatting sqref="K19:M19 K21:M21 K23:M23 K25:M25 K27:M27 K29:M29 K31:M31 K33:M33 K35:M35 K37:M37 K39:M39 K41:M41 K43:M43 K45:M45 K47:M47 K49:M49 K51:M51 K53:M53 K55:M55 K57:M57 K59:M59 K61:M61 K63:M63 K65:M65 K67:M67">
    <cfRule type="expression" dxfId="184" priority="19" stopIfTrue="1">
      <formula>AND(K19="",CH19="Z")</formula>
    </cfRule>
  </conditionalFormatting>
  <conditionalFormatting sqref="K19:AC19 K21:AC21 K23:AC23 K25:AC25 K27:AC27 K29:AC29 K31:AC31 K33:AC33 K35:AC35 K37:AC37 K39:AC39 K41:AC41 K43:AC43 K45:AC45 K47:AC47 K49:AC49 K51:AC51 K53:AC53 K55:AC55 K57:AC57 K59:AC59 K61:AC61 K63:AC63 K65:AC65 K67:AC67">
    <cfRule type="expression" dxfId="183" priority="41" stopIfTrue="1">
      <formula>AND($E20="H",J19&lt;&gt;"",K19="",#REF!="No")</formula>
    </cfRule>
    <cfRule type="expression" dxfId="182" priority="17" stopIfTrue="1">
      <formula>AND($F21="",OR($E20=3,$E20="PA"))</formula>
    </cfRule>
  </conditionalFormatting>
  <conditionalFormatting sqref="K19:AD68">
    <cfRule type="containsBlanks" priority="1784" stopIfTrue="1">
      <formula>LEN(TRIM(K19))=0</formula>
    </cfRule>
  </conditionalFormatting>
  <conditionalFormatting sqref="L5">
    <cfRule type="expression" dxfId="181" priority="374">
      <formula>$A$5="Club:"</formula>
    </cfRule>
  </conditionalFormatting>
  <conditionalFormatting sqref="L7">
    <cfRule type="expression" dxfId="180" priority="400">
      <formula>$M$7&lt;&gt;"X"</formula>
    </cfRule>
  </conditionalFormatting>
  <conditionalFormatting sqref="L8">
    <cfRule type="expression" dxfId="179" priority="398">
      <formula>$M$8=""</formula>
    </cfRule>
  </conditionalFormatting>
  <conditionalFormatting sqref="L76">
    <cfRule type="expression" dxfId="178" priority="358" stopIfTrue="1">
      <formula>K76&lt;&gt;""</formula>
    </cfRule>
    <cfRule type="expression" dxfId="177" priority="359">
      <formula>K76=""</formula>
    </cfRule>
  </conditionalFormatting>
  <conditionalFormatting sqref="L81">
    <cfRule type="expression" dxfId="176" priority="287">
      <formula>J81=""</formula>
    </cfRule>
    <cfRule type="expression" dxfId="175" priority="286" stopIfTrue="1">
      <formula>J81&lt;&gt;""</formula>
    </cfRule>
  </conditionalFormatting>
  <conditionalFormatting sqref="L13:Q13">
    <cfRule type="expression" dxfId="174" priority="402" stopIfTrue="1">
      <formula>L13&gt;L12</formula>
    </cfRule>
  </conditionalFormatting>
  <conditionalFormatting sqref="M5">
    <cfRule type="containsText" dxfId="173" priority="389" operator="containsText" text="BONUSES">
      <formula>NOT(ISERROR(SEARCH("BONUSES",M5)))</formula>
    </cfRule>
    <cfRule type="containsText" dxfId="172" priority="388" operator="containsText" text=" ">
      <formula>NOT(ISERROR(SEARCH(" ",M5)))</formula>
    </cfRule>
    <cfRule type="containsText" dxfId="171" priority="392" operator="containsText" text="HYBRID">
      <formula>NOT(ISERROR(SEARCH("HYBRID",M5)))</formula>
    </cfRule>
    <cfRule type="containsText" dxfId="170" priority="391" operator="containsText" text="ACROBATIC">
      <formula>NOT(ISERROR(SEARCH("ACROBATIC",M5)))</formula>
    </cfRule>
    <cfRule type="containsText" dxfId="169" priority="390" operator="containsText" text="TRANSITION">
      <formula>NOT(ISERROR(SEARCH("TRANSITION",M5)))</formula>
    </cfRule>
  </conditionalFormatting>
  <conditionalFormatting sqref="M76">
    <cfRule type="expression" dxfId="168" priority="357">
      <formula>K76=""</formula>
    </cfRule>
    <cfRule type="expression" dxfId="167" priority="356" stopIfTrue="1">
      <formula>K76&lt;&gt;""</formula>
    </cfRule>
  </conditionalFormatting>
  <conditionalFormatting sqref="M81">
    <cfRule type="expression" dxfId="166" priority="224" stopIfTrue="1">
      <formula>M81&lt;&gt;""</formula>
    </cfRule>
    <cfRule type="expression" dxfId="165" priority="225">
      <formula>M81=""</formula>
    </cfRule>
  </conditionalFormatting>
  <conditionalFormatting sqref="M6:N6">
    <cfRule type="containsText" dxfId="164" priority="393" operator="containsText" text=" ">
      <formula>NOT(ISERROR(SEARCH(" ",M6)))</formula>
    </cfRule>
    <cfRule type="containsText" dxfId="163" priority="394" operator="containsText" text="BONUSES">
      <formula>NOT(ISERROR(SEARCH("BONUSES",M6)))</formula>
    </cfRule>
    <cfRule type="containsText" dxfId="162" priority="395" operator="containsText" text="TRANSITION">
      <formula>NOT(ISERROR(SEARCH("TRANSITION",M6)))</formula>
    </cfRule>
    <cfRule type="containsText" dxfId="161" priority="396" operator="containsText" text="ACROBATIC">
      <formula>NOT(ISERROR(SEARCH("ACROBATIC",M6)))</formula>
    </cfRule>
    <cfRule type="containsText" dxfId="160" priority="397" operator="containsText" text="HYBRID">
      <formula>NOT(ISERROR(SEARCH("HYBRID",M6)))</formula>
    </cfRule>
  </conditionalFormatting>
  <conditionalFormatting sqref="M19:N19 M21:N21 M23:N23 M25:N25 M27:N27 M29:N29 M31:N31 M33:N33 M35:N35 M37:N37 M39:N39 M41:N41 M43:N43 M45:N45 M47:N47 M49:N49 M51:N51 M53:N53 M55:N55 M57:N57 M59:N59 M61:N61 M63:N63 M65:N65 M67:N67">
    <cfRule type="expression" dxfId="159" priority="187">
      <formula>$BW19="X"</formula>
    </cfRule>
    <cfRule type="expression" dxfId="158" priority="39">
      <formula>OR(AND(M19&lt;&gt;"",$E20="A",OR($CT$12=M19,$CU$12=M19)),AND(M19&lt;&gt;"",$E20="P",OR($DA$12=M19,$DB$12=M19)))</formula>
    </cfRule>
  </conditionalFormatting>
  <conditionalFormatting sqref="M19:AD68">
    <cfRule type="expression" dxfId="157" priority="2">
      <formula>$F19="Hybrid - Thrust + 2 connections"</formula>
    </cfRule>
  </conditionalFormatting>
  <conditionalFormatting sqref="N76">
    <cfRule type="expression" dxfId="156" priority="354" stopIfTrue="1">
      <formula>K76&lt;&gt;""</formula>
    </cfRule>
    <cfRule type="expression" dxfId="155" priority="355">
      <formula>K76=""</formula>
    </cfRule>
  </conditionalFormatting>
  <conditionalFormatting sqref="N81">
    <cfRule type="expression" dxfId="154" priority="283">
      <formula>M81=""</formula>
    </cfRule>
    <cfRule type="expression" dxfId="153" priority="282" stopIfTrue="1">
      <formula>M81&lt;&gt;""</formula>
    </cfRule>
  </conditionalFormatting>
  <conditionalFormatting sqref="N6:AC6">
    <cfRule type="expression" dxfId="152" priority="14">
      <formula>AND($N$6="",OR($F$8="Open Free Combination",$F$8="Open Team Acrobatic"),$F$19&lt;&gt;"")</formula>
    </cfRule>
  </conditionalFormatting>
  <conditionalFormatting sqref="O5">
    <cfRule type="containsText" dxfId="151" priority="387" operator="containsText" text="HYBRID">
      <formula>NOT(ISERROR(SEARCH("HYBRID",O5)))</formula>
    </cfRule>
    <cfRule type="containsText" dxfId="150" priority="385" operator="containsText" text="TRANSITION">
      <formula>NOT(ISERROR(SEARCH("TRANSITION",O5)))</formula>
    </cfRule>
    <cfRule type="containsText" dxfId="149" priority="384" operator="containsText" text="BONUSES">
      <formula>NOT(ISERROR(SEARCH("BONUSES",O5)))</formula>
    </cfRule>
    <cfRule type="containsText" dxfId="148" priority="386" operator="containsText" text="ACROBATIC">
      <formula>NOT(ISERROR(SEARCH("ACROBATIC",O5)))</formula>
    </cfRule>
    <cfRule type="containsText" dxfId="147" priority="383" operator="containsText" text=" ">
      <formula>NOT(ISERROR(SEARCH(" ",O5)))</formula>
    </cfRule>
  </conditionalFormatting>
  <conditionalFormatting sqref="O76">
    <cfRule type="expression" dxfId="146" priority="205">
      <formula>O76=""</formula>
    </cfRule>
    <cfRule type="expression" dxfId="145" priority="204" stopIfTrue="1">
      <formula>O76&lt;&gt;""</formula>
    </cfRule>
  </conditionalFormatting>
  <conditionalFormatting sqref="O81">
    <cfRule type="expression" dxfId="144" priority="281">
      <formula>M81=""</formula>
    </cfRule>
    <cfRule type="expression" dxfId="143" priority="280" stopIfTrue="1">
      <formula>M81&lt;&gt;""</formula>
    </cfRule>
  </conditionalFormatting>
  <conditionalFormatting sqref="P76">
    <cfRule type="expression" dxfId="142" priority="350" stopIfTrue="1">
      <formula>O76&lt;&gt;""</formula>
    </cfRule>
    <cfRule type="expression" dxfId="141" priority="351">
      <formula>O76=""</formula>
    </cfRule>
  </conditionalFormatting>
  <conditionalFormatting sqref="P81">
    <cfRule type="expression" dxfId="140" priority="222" stopIfTrue="1">
      <formula>P81&lt;&gt;""</formula>
    </cfRule>
    <cfRule type="expression" dxfId="139" priority="223">
      <formula>P81=""</formula>
    </cfRule>
  </conditionalFormatting>
  <conditionalFormatting sqref="Q76">
    <cfRule type="expression" dxfId="138" priority="348" stopIfTrue="1">
      <formula>O76&lt;&gt;""</formula>
    </cfRule>
    <cfRule type="expression" dxfId="137" priority="349">
      <formula>O76=""</formula>
    </cfRule>
  </conditionalFormatting>
  <conditionalFormatting sqref="Q81">
    <cfRule type="expression" dxfId="136" priority="276" stopIfTrue="1">
      <formula>P81&lt;&gt;""</formula>
    </cfRule>
    <cfRule type="expression" dxfId="135" priority="277">
      <formula>P81=""</formula>
    </cfRule>
  </conditionalFormatting>
  <conditionalFormatting sqref="Q19:R68">
    <cfRule type="expression" dxfId="134" priority="22">
      <formula>$CP19="X"</formula>
    </cfRule>
  </conditionalFormatting>
  <conditionalFormatting sqref="R76">
    <cfRule type="expression" dxfId="133" priority="346" stopIfTrue="1">
      <formula>O76&lt;&gt;""</formula>
    </cfRule>
    <cfRule type="expression" dxfId="132" priority="347">
      <formula>O76=""</formula>
    </cfRule>
  </conditionalFormatting>
  <conditionalFormatting sqref="R81">
    <cfRule type="expression" dxfId="131" priority="275">
      <formula>P81=""</formula>
    </cfRule>
    <cfRule type="expression" dxfId="130" priority="274" stopIfTrue="1">
      <formula>P81&lt;&gt;""</formula>
    </cfRule>
  </conditionalFormatting>
  <conditionalFormatting sqref="S76">
    <cfRule type="expression" dxfId="129" priority="203">
      <formula>S76=""</formula>
    </cfRule>
    <cfRule type="expression" dxfId="128" priority="202" stopIfTrue="1">
      <formula>S76&lt;&gt;""</formula>
    </cfRule>
  </conditionalFormatting>
  <conditionalFormatting sqref="S81">
    <cfRule type="expression" dxfId="127" priority="220" stopIfTrue="1">
      <formula>S81&lt;&gt;""</formula>
    </cfRule>
    <cfRule type="expression" dxfId="126" priority="221">
      <formula>S81=""</formula>
    </cfRule>
  </conditionalFormatting>
  <conditionalFormatting sqref="S13:W13">
    <cfRule type="expression" dxfId="125" priority="11461">
      <formula>OR(AND($BS$8="T",FL14="X"),AND($BS$3="No",$BS$8&lt;&gt;"T",FB17&gt;0))</formula>
    </cfRule>
  </conditionalFormatting>
  <conditionalFormatting sqref="S11:X13">
    <cfRule type="expression" dxfId="124" priority="23">
      <formula>$BS$3="Yes"</formula>
    </cfRule>
  </conditionalFormatting>
  <conditionalFormatting sqref="S13:X13 Y12:AD12 H12:R12">
    <cfRule type="cellIs" dxfId="123" priority="29" operator="greaterThan">
      <formula>0</formula>
    </cfRule>
  </conditionalFormatting>
  <conditionalFormatting sqref="S13:X13">
    <cfRule type="expression" dxfId="122" priority="445">
      <formula>AND(S12&lt;&gt;"",S13="Not OK")</formula>
    </cfRule>
  </conditionalFormatting>
  <conditionalFormatting sqref="T76">
    <cfRule type="expression" dxfId="121" priority="343">
      <formula>S76=""</formula>
    </cfRule>
    <cfRule type="expression" dxfId="120" priority="342" stopIfTrue="1">
      <formula>S76&lt;&gt;""</formula>
    </cfRule>
  </conditionalFormatting>
  <conditionalFormatting sqref="T81">
    <cfRule type="expression" dxfId="119" priority="271">
      <formula>S81=""</formula>
    </cfRule>
    <cfRule type="expression" dxfId="118" priority="270" stopIfTrue="1">
      <formula>S81&lt;&gt;""</formula>
    </cfRule>
  </conditionalFormatting>
  <conditionalFormatting sqref="U76">
    <cfRule type="expression" dxfId="117" priority="340" stopIfTrue="1">
      <formula>S76&lt;&gt;""</formula>
    </cfRule>
    <cfRule type="expression" dxfId="116" priority="341">
      <formula>S76=""</formula>
    </cfRule>
  </conditionalFormatting>
  <conditionalFormatting sqref="U81">
    <cfRule type="expression" dxfId="115" priority="269">
      <formula>S81=""</formula>
    </cfRule>
    <cfRule type="expression" dxfId="114" priority="268" stopIfTrue="1">
      <formula>S81&lt;&gt;""</formula>
    </cfRule>
  </conditionalFormatting>
  <conditionalFormatting sqref="V76">
    <cfRule type="expression" dxfId="113" priority="338" stopIfTrue="1">
      <formula>S76&lt;&gt;""</formula>
    </cfRule>
    <cfRule type="expression" dxfId="112" priority="339">
      <formula>S76=""</formula>
    </cfRule>
  </conditionalFormatting>
  <conditionalFormatting sqref="V81">
    <cfRule type="expression" dxfId="111" priority="171">
      <formula>V81=""</formula>
    </cfRule>
    <cfRule type="expression" dxfId="110" priority="170" stopIfTrue="1">
      <formula>V81&lt;&gt;""</formula>
    </cfRule>
  </conditionalFormatting>
  <conditionalFormatting sqref="W76">
    <cfRule type="expression" dxfId="109" priority="143">
      <formula>W76=""</formula>
    </cfRule>
    <cfRule type="expression" dxfId="108" priority="142" stopIfTrue="1">
      <formula>W76&lt;&gt;""</formula>
    </cfRule>
  </conditionalFormatting>
  <conditionalFormatting sqref="W81">
    <cfRule type="expression" dxfId="107" priority="174" stopIfTrue="1">
      <formula>V81&lt;&gt;""</formula>
    </cfRule>
    <cfRule type="expression" dxfId="106" priority="175">
      <formula>V81=""</formula>
    </cfRule>
  </conditionalFormatting>
  <conditionalFormatting sqref="X11">
    <cfRule type="expression" dxfId="105" priority="30">
      <formula>OR($BS$4="Yes",$BS$8="T")</formula>
    </cfRule>
  </conditionalFormatting>
  <conditionalFormatting sqref="X12:X13">
    <cfRule type="expression" dxfId="104" priority="25">
      <formula>OR($BS$4="Yes",$BS$8="T")</formula>
    </cfRule>
  </conditionalFormatting>
  <conditionalFormatting sqref="X13">
    <cfRule type="expression" dxfId="103" priority="31" stopIfTrue="1">
      <formula>AND($X$12="C",$X$13="OK")</formula>
    </cfRule>
  </conditionalFormatting>
  <conditionalFormatting sqref="X14">
    <cfRule type="notContainsBlanks" dxfId="102" priority="109">
      <formula>LEN(TRIM(X14))&gt;0</formula>
    </cfRule>
  </conditionalFormatting>
  <conditionalFormatting sqref="X76">
    <cfRule type="expression" dxfId="101" priority="148" stopIfTrue="1">
      <formula>W76&lt;&gt;""</formula>
    </cfRule>
    <cfRule type="expression" dxfId="100" priority="149">
      <formula>W76=""</formula>
    </cfRule>
  </conditionalFormatting>
  <conditionalFormatting sqref="X81">
    <cfRule type="expression" dxfId="99" priority="173">
      <formula>V81=""</formula>
    </cfRule>
    <cfRule type="expression" dxfId="98" priority="172" stopIfTrue="1">
      <formula>V81&lt;&gt;""</formula>
    </cfRule>
  </conditionalFormatting>
  <conditionalFormatting sqref="Y76">
    <cfRule type="expression" dxfId="97" priority="146" stopIfTrue="1">
      <formula>W76&lt;&gt;""</formula>
    </cfRule>
    <cfRule type="expression" dxfId="96" priority="147">
      <formula>W76=""</formula>
    </cfRule>
  </conditionalFormatting>
  <conditionalFormatting sqref="Y81">
    <cfRule type="expression" dxfId="95" priority="163">
      <formula>Y81=""</formula>
    </cfRule>
    <cfRule type="expression" dxfId="94" priority="162" stopIfTrue="1">
      <formula>Y81&lt;&gt;""</formula>
    </cfRule>
  </conditionalFormatting>
  <conditionalFormatting sqref="Y11:AB13">
    <cfRule type="expression" dxfId="93" priority="11">
      <formula>$F$8&lt;&gt;"Open Team Acrobatic"</formula>
    </cfRule>
  </conditionalFormatting>
  <conditionalFormatting sqref="Y13:AB13">
    <cfRule type="beginsWith" dxfId="92" priority="13" operator="beginsWith" text="OK">
      <formula>LEFT(Y13,LEN("OK"))="OK"</formula>
    </cfRule>
    <cfRule type="beginsWith" dxfId="91" priority="12" operator="beginsWith" text="Not">
      <formula>LEFT(Y13,LEN("Not"))="Not"</formula>
    </cfRule>
  </conditionalFormatting>
  <conditionalFormatting sqref="Z76">
    <cfRule type="expression" dxfId="90" priority="145">
      <formula>W76=""</formula>
    </cfRule>
    <cfRule type="expression" dxfId="89" priority="144" stopIfTrue="1">
      <formula>W76&lt;&gt;""</formula>
    </cfRule>
  </conditionalFormatting>
  <conditionalFormatting sqref="Z81">
    <cfRule type="expression" dxfId="88" priority="161">
      <formula>Y81=""</formula>
    </cfRule>
    <cfRule type="expression" dxfId="87" priority="160" stopIfTrue="1">
      <formula>Y81&lt;&gt;""</formula>
    </cfRule>
  </conditionalFormatting>
  <conditionalFormatting sqref="AA76">
    <cfRule type="expression" dxfId="86" priority="135">
      <formula>AA76=""</formula>
    </cfRule>
    <cfRule type="expression" dxfId="85" priority="134" stopIfTrue="1">
      <formula>AA76&lt;&gt;""</formula>
    </cfRule>
  </conditionalFormatting>
  <conditionalFormatting sqref="AA81">
    <cfRule type="expression" dxfId="84" priority="158" stopIfTrue="1">
      <formula>Y81&lt;&gt;""</formula>
    </cfRule>
    <cfRule type="expression" dxfId="83" priority="159">
      <formula>Y81=""</formula>
    </cfRule>
  </conditionalFormatting>
  <conditionalFormatting sqref="AB76">
    <cfRule type="expression" dxfId="82" priority="141">
      <formula>AA76=""</formula>
    </cfRule>
    <cfRule type="expression" dxfId="81" priority="140" stopIfTrue="1">
      <formula>AA76&lt;&gt;""</formula>
    </cfRule>
  </conditionalFormatting>
  <conditionalFormatting sqref="AB81">
    <cfRule type="expression" dxfId="80" priority="215">
      <formula>AB81=""</formula>
    </cfRule>
    <cfRule type="expression" dxfId="79" priority="214" stopIfTrue="1">
      <formula>AB81&lt;&gt;""</formula>
    </cfRule>
  </conditionalFormatting>
  <conditionalFormatting sqref="AC76">
    <cfRule type="expression" dxfId="78" priority="138" stopIfTrue="1">
      <formula>AA76&lt;&gt;""</formula>
    </cfRule>
    <cfRule type="expression" dxfId="77" priority="139">
      <formula>AA76=""</formula>
    </cfRule>
  </conditionalFormatting>
  <conditionalFormatting sqref="AC81">
    <cfRule type="expression" dxfId="76" priority="252" stopIfTrue="1">
      <formula>AB81&lt;&gt;""</formula>
    </cfRule>
    <cfRule type="expression" dxfId="75" priority="253">
      <formula>AB81=""</formula>
    </cfRule>
  </conditionalFormatting>
  <conditionalFormatting sqref="AD19 AD21 AD23 AD25 AD27 AD29 AD31 AD33 AD35 AD37 AD39 AD41 AD43 AD45 AD47 AD49 AD51 AD53 AD55 AD57 AD59 AD61 AD63 AD65 AD67">
    <cfRule type="expression" dxfId="74" priority="34">
      <formula>OR(AND(AD19&lt;&gt;"",E20&lt;&gt;"H"),AND($AD19&lt;&gt;"",$BS$5&lt;&gt;"OK"))</formula>
    </cfRule>
  </conditionalFormatting>
  <conditionalFormatting sqref="AD76">
    <cfRule type="expression" dxfId="73" priority="137">
      <formula>AA76=""</formula>
    </cfRule>
    <cfRule type="expression" dxfId="72" priority="136" stopIfTrue="1">
      <formula>AA76&lt;&gt;""</formula>
    </cfRule>
  </conditionalFormatting>
  <conditionalFormatting sqref="AD81">
    <cfRule type="expression" dxfId="71" priority="251">
      <formula>AB81=""</formula>
    </cfRule>
    <cfRule type="expression" dxfId="70" priority="250" stopIfTrue="1">
      <formula>AB81&lt;&gt;""</formula>
    </cfRule>
  </conditionalFormatting>
  <conditionalFormatting sqref="AE20 AE22:AF22 AE24:AF24 AE26:AF26 AE28:AF28 AE30:AF30 AE32:AF32 AE34:AF34 AE36:AF36 AE38:AF38 AE40:AF40 AE42:AF42 AE44:AF44 AE46:AF46 AE48:AF48 AE50:AF50 AE52:AF52 AE54:AF54 AE56:AF56 AE58:AF58 AE60:AF60 AE62:AF62 AE64:AF64 AE66:AF66 AE68:AF68">
    <cfRule type="expression" dxfId="69" priority="1537">
      <formula>AND(BR20="X",J19&lt;&gt;"")</formula>
    </cfRule>
  </conditionalFormatting>
  <conditionalFormatting sqref="AE76">
    <cfRule type="expression" dxfId="68" priority="127">
      <formula>AE76=""</formula>
    </cfRule>
    <cfRule type="expression" dxfId="67" priority="126" stopIfTrue="1">
      <formula>AE76&lt;&gt;""</formula>
    </cfRule>
  </conditionalFormatting>
  <conditionalFormatting sqref="AE81">
    <cfRule type="expression" dxfId="66" priority="213">
      <formula>AE81=""</formula>
    </cfRule>
    <cfRule type="expression" dxfId="65" priority="212" stopIfTrue="1">
      <formula>AE81&lt;&gt;""</formula>
    </cfRule>
  </conditionalFormatting>
  <conditionalFormatting sqref="AF76">
    <cfRule type="expression" dxfId="64" priority="133">
      <formula>AE76=""</formula>
    </cfRule>
    <cfRule type="expression" dxfId="63" priority="132" stopIfTrue="1">
      <formula>AE76&lt;&gt;""</formula>
    </cfRule>
  </conditionalFormatting>
  <conditionalFormatting sqref="AF81">
    <cfRule type="expression" dxfId="62" priority="247">
      <formula>AE81=""</formula>
    </cfRule>
    <cfRule type="expression" dxfId="61" priority="246" stopIfTrue="1">
      <formula>AE81&lt;&gt;""</formula>
    </cfRule>
  </conditionalFormatting>
  <conditionalFormatting sqref="AF1:BP16 AF17:AV17 BP17 AF18:BP19 BQ18:BQ20 AE18:AE68 BE20:BO20 AF20:AU68 AV21:BE21 BF21:BQ68 BE22 AV23:BE23 BE24 AV25:BE25 BE26 AV27:BE27 BE28 AV29:BE29 BE30 AV31:BE31 BE32 AV33:BE33 BE34 AV35:BE35 BE36 AV37:BE37 BE38 AV39:BE39 BE40 AV41:BE41 BE42 AV43:BE43 BE44 AV45:BE45 BE46 AV47:BE47 BE48 AV49:BE49 BE50 AV51:BE51 BE52 AV53:BE53 BE54 AV55:BE55 BE56 AV57:BE57 BE58 AV59:BE59 BE60 AV61:BE61 BE62 AV63:BE63 BE64 AV65:BE65 BE66 AV67:BE67 BE68 AD69">
    <cfRule type="cellIs" dxfId="60" priority="444" operator="equal">
      <formula>0</formula>
    </cfRule>
  </conditionalFormatting>
  <conditionalFormatting sqref="AG22 AG24 AG26 AG28 AG30 AG32 AG34 AG36 AG38 AG40 AG42 AG44 AG46 AG48 AG50 AG52 AG54 AG56 AG58 AG60 AG62 AG64 AG66 AG68">
    <cfRule type="expression" dxfId="59" priority="1509">
      <formula>BS22="X"</formula>
    </cfRule>
  </conditionalFormatting>
  <conditionalFormatting sqref="AG76">
    <cfRule type="expression" dxfId="58" priority="130" stopIfTrue="1">
      <formula>AE76&lt;&gt;""</formula>
    </cfRule>
    <cfRule type="expression" dxfId="57" priority="131">
      <formula>AE76=""</formula>
    </cfRule>
  </conditionalFormatting>
  <conditionalFormatting sqref="AG81">
    <cfRule type="expression" dxfId="56" priority="245">
      <formula>AE81=""</formula>
    </cfRule>
    <cfRule type="expression" dxfId="55" priority="244" stopIfTrue="1">
      <formula>AE81&lt;&gt;""</formula>
    </cfRule>
  </conditionalFormatting>
  <conditionalFormatting sqref="AH22 AH24 AH26 AH28 AH30 AH32 AH34 AH36 AH38 AH40 AH42 AH44 AH46 AH48 AH50 AH52 AH54 AH56 AH58 AH60 AH62 AH64 AH66 AH68">
    <cfRule type="expression" dxfId="54" priority="1481">
      <formula>BS22="X"</formula>
    </cfRule>
  </conditionalFormatting>
  <conditionalFormatting sqref="AH76">
    <cfRule type="expression" dxfId="53" priority="129">
      <formula>AE76=""</formula>
    </cfRule>
    <cfRule type="expression" dxfId="52" priority="128" stopIfTrue="1">
      <formula>AE76&lt;&gt;""</formula>
    </cfRule>
  </conditionalFormatting>
  <conditionalFormatting sqref="AH81">
    <cfRule type="expression" dxfId="51" priority="210" stopIfTrue="1">
      <formula>AH81&lt;&gt;""</formula>
    </cfRule>
    <cfRule type="expression" dxfId="50" priority="211">
      <formula>AH81=""</formula>
    </cfRule>
  </conditionalFormatting>
  <conditionalFormatting sqref="AI22 AI24 AI26 AI28 AI30 AI32 AI34 AI36 AI38 AI40 AI42 AI44 AI46 AI48 AI50 AI52 AI54 AI56 AI58 AI60 AI62 AI64 AI66 AI68">
    <cfRule type="expression" dxfId="49" priority="1453">
      <formula>BS22="X"</formula>
    </cfRule>
  </conditionalFormatting>
  <conditionalFormatting sqref="AI76">
    <cfRule type="expression" dxfId="48" priority="118" stopIfTrue="1">
      <formula>AI76&lt;&gt;""</formula>
    </cfRule>
    <cfRule type="expression" dxfId="47" priority="119">
      <formula>AI76=""</formula>
    </cfRule>
  </conditionalFormatting>
  <conditionalFormatting sqref="AI81">
    <cfRule type="expression" dxfId="46" priority="241">
      <formula>AH81=""</formula>
    </cfRule>
    <cfRule type="expression" dxfId="45" priority="240" stopIfTrue="1">
      <formula>AH81&lt;&gt;""</formula>
    </cfRule>
  </conditionalFormatting>
  <conditionalFormatting sqref="AJ22 AJ24 AJ26 AJ28 AJ30 AJ32 AJ34 AJ36 AJ38 AJ40 AJ42 AJ44 AJ46 AJ48 AJ50 AJ52 AJ54 AJ56 AJ58 AJ60 AJ62 AJ64 AJ66 AJ68">
    <cfRule type="expression" dxfId="44" priority="1425">
      <formula>BS22="X"</formula>
    </cfRule>
  </conditionalFormatting>
  <conditionalFormatting sqref="AJ76">
    <cfRule type="expression" dxfId="43" priority="125">
      <formula>AI76=""</formula>
    </cfRule>
    <cfRule type="expression" dxfId="42" priority="124" stopIfTrue="1">
      <formula>AI76&lt;&gt;""</formula>
    </cfRule>
  </conditionalFormatting>
  <conditionalFormatting sqref="AJ81">
    <cfRule type="expression" dxfId="41" priority="238" stopIfTrue="1">
      <formula>AH81&lt;&gt;""</formula>
    </cfRule>
    <cfRule type="expression" dxfId="40" priority="239">
      <formula>AH81=""</formula>
    </cfRule>
  </conditionalFormatting>
  <conditionalFormatting sqref="AK76">
    <cfRule type="expression" dxfId="39" priority="123">
      <formula>AI76=""</formula>
    </cfRule>
    <cfRule type="expression" dxfId="38" priority="122" stopIfTrue="1">
      <formula>AI76&lt;&gt;""</formula>
    </cfRule>
  </conditionalFormatting>
  <conditionalFormatting sqref="AK81">
    <cfRule type="expression" dxfId="37" priority="209">
      <formula>AK81=""</formula>
    </cfRule>
    <cfRule type="expression" dxfId="36" priority="208" stopIfTrue="1">
      <formula>AK81&lt;&gt;""</formula>
    </cfRule>
  </conditionalFormatting>
  <conditionalFormatting sqref="AK22:AL22 AK24:AL24 AK26:AL26 AK28:AL28 AK30:AL30 AK32:AL32 AK34:AL34 AK36:AL36 AK38:AL38 AK40:AL40 AK42:AL42 AK44:AL44 AK46:AL46 AK48:AL48 AK50:AL50 AK52:AL52 AK54:AL54 AK56:AL56 AK58:AL58 AK60:AL60 AK62:AL62 AK64:AL64 AK66:AL66 AK68:AL68">
    <cfRule type="expression" dxfId="35" priority="10822">
      <formula>BS22="X"</formula>
    </cfRule>
  </conditionalFormatting>
  <conditionalFormatting sqref="AL76">
    <cfRule type="expression" dxfId="34" priority="120" stopIfTrue="1">
      <formula>AI76&lt;&gt;""</formula>
    </cfRule>
    <cfRule type="expression" dxfId="33" priority="121">
      <formula>AI76=""</formula>
    </cfRule>
  </conditionalFormatting>
  <conditionalFormatting sqref="AL81">
    <cfRule type="expression" dxfId="32" priority="235">
      <formula>AK81=""</formula>
    </cfRule>
    <cfRule type="expression" dxfId="31" priority="234" stopIfTrue="1">
      <formula>AK81&lt;&gt;""</formula>
    </cfRule>
  </conditionalFormatting>
  <conditionalFormatting sqref="AM22 AM24 AM26 AM28 AM30 AM32 AM34 AM36 AM38 AM40 AM42 AM44 AM46 AM48 AM50 AM52 AM54 AM56 AM58 AM60 AM62 AM64 AM66 AM68">
    <cfRule type="expression" dxfId="30" priority="10547">
      <formula>BT22="X"</formula>
    </cfRule>
  </conditionalFormatting>
  <conditionalFormatting sqref="AM76">
    <cfRule type="expression" dxfId="29" priority="111">
      <formula>AM76=""</formula>
    </cfRule>
    <cfRule type="expression" dxfId="28" priority="110" stopIfTrue="1">
      <formula>AM76&lt;&gt;""</formula>
    </cfRule>
  </conditionalFormatting>
  <conditionalFormatting sqref="AM81">
    <cfRule type="expression" dxfId="27" priority="233">
      <formula>AK81=""</formula>
    </cfRule>
    <cfRule type="expression" dxfId="26" priority="232" stopIfTrue="1">
      <formula>AK81&lt;&gt;""</formula>
    </cfRule>
  </conditionalFormatting>
  <conditionalFormatting sqref="AN22 AN24 AN26 AN28 AN30 AN32 AN34 AN36 AN38 AN40 AN42 AN44 AN46 AN48 AN50 AN52 AN54 AN56 AN58 AN60 AN62 AN64 AN66 AN68">
    <cfRule type="expression" dxfId="25" priority="10272">
      <formula>BT22="X"</formula>
    </cfRule>
  </conditionalFormatting>
  <conditionalFormatting sqref="AN76">
    <cfRule type="expression" dxfId="24" priority="116" stopIfTrue="1">
      <formula>AM76&lt;&gt;""</formula>
    </cfRule>
    <cfRule type="expression" dxfId="23" priority="117">
      <formula>AM76=""</formula>
    </cfRule>
  </conditionalFormatting>
  <conditionalFormatting sqref="AO22 AO24 AO26 AO28 AO30 AO32 AO34 AO36 AO38 AO40 AO42 AO44 AO46 AO48 AO50 AO52 AO54 AO56 AO58 AO60 AO62 AO64 AO66 AO68">
    <cfRule type="expression" dxfId="22" priority="9997">
      <formula>BT22="X"</formula>
    </cfRule>
  </conditionalFormatting>
  <conditionalFormatting sqref="AO76">
    <cfRule type="expression" dxfId="21" priority="115">
      <formula>AM76=""</formula>
    </cfRule>
    <cfRule type="expression" dxfId="20" priority="114" stopIfTrue="1">
      <formula>AM76&lt;&gt;""</formula>
    </cfRule>
  </conditionalFormatting>
  <conditionalFormatting sqref="AP22 AP24 AP26 AP28 AP30 AP32 AP34 AP36 AP38 AP40 AP42 AP44 AP46 AP48 AP50 AP52 AP54 AP56 AP58 AP60 AP62 AP64 AP66 AP68">
    <cfRule type="expression" dxfId="19" priority="9722">
      <formula>BT22="X"</formula>
    </cfRule>
  </conditionalFormatting>
  <conditionalFormatting sqref="AQ22 AQ24 AQ26 AQ28 AQ30 AQ32 AQ34 AQ36 AQ38 AQ40 AQ42 AQ44 AQ46 AQ48 AQ50 AQ52 AQ54 AQ56 AQ58 AQ60 AQ62 AQ64 AQ66 AQ68">
    <cfRule type="expression" dxfId="18" priority="9447">
      <formula>BT22="X"</formula>
    </cfRule>
  </conditionalFormatting>
  <conditionalFormatting sqref="AR22 AR24 AR26 AR28 AR30 AR32 AR34 AR36 AR38 AR40 AR42 AR44 AR46 AR48 AR50 AR52 AR54 AR56 AR58 AR60 AR62 AR64 AR66 AR68">
    <cfRule type="expression" dxfId="17" priority="1397">
      <formula>BT22="X"</formula>
    </cfRule>
  </conditionalFormatting>
  <conditionalFormatting sqref="AS22 AU22 AS24 AU24 AS26 AU26 AS28 AU28 AS30 AU30 AS32 AU32 AS34 AU34 AS36 AU36 AS38 AU38 AS40 AU40 AS42 AU42 AS44 AU44 AS46 AU46 AS48 AU48 AS50 AU50 AS52 AU52 AS54 AU54 AS56 AU56 AS58 AU58 AS60 AU60 AS62 AU62 AS64 AU64 AS66 AU66 AS68 AU68">
    <cfRule type="expression" dxfId="16" priority="8894">
      <formula>BS22="X"</formula>
    </cfRule>
  </conditionalFormatting>
  <conditionalFormatting sqref="BP22 BP24 BP26 BP28 BP30 BP32 BP34 BP36 BP38 BP40 BP42 BP44 BP46 BP48 BP50 BP52 BP54 BP56 BP58 BP60 BP62 BP64 BP66 BP68">
    <cfRule type="expression" dxfId="15" priority="1313">
      <formula>BS22="X"</formula>
    </cfRule>
  </conditionalFormatting>
  <conditionalFormatting sqref="BQ20 BQ22 BQ24 BQ26 BQ28 BQ30 BQ32 BQ34 BQ36 BQ38 BQ40 BQ42 BQ44 BQ46 BQ48 BQ50 BQ52 BQ54 BQ56 BQ58 BQ60 BQ62 BQ64 BQ66 BQ68">
    <cfRule type="expression" dxfId="14" priority="410">
      <formula>BS20="X"</formula>
    </cfRule>
  </conditionalFormatting>
  <conditionalFormatting sqref="BT14:BT15">
    <cfRule type="containsText" dxfId="13" priority="432" operator="containsText" text="HYBRID">
      <formula>NOT(ISERROR(SEARCH("HYBRID",BT14)))</formula>
    </cfRule>
    <cfRule type="containsText" dxfId="12" priority="431" operator="containsText" text="ACROBATIC">
      <formula>NOT(ISERROR(SEARCH("ACROBATIC",BT14)))</formula>
    </cfRule>
    <cfRule type="containsText" dxfId="11" priority="428" operator="containsText" text=" ">
      <formula>NOT(ISERROR(SEARCH(" ",BT14)))</formula>
    </cfRule>
    <cfRule type="containsText" dxfId="10" priority="430" operator="containsText" text="TRANSITION">
      <formula>NOT(ISERROR(SEARCH("TRANSITION",BT14)))</formula>
    </cfRule>
    <cfRule type="containsText" dxfId="9" priority="429" operator="containsText" text="BONUSES">
      <formula>NOT(ISERROR(SEARCH("BONUSES",BT14)))</formula>
    </cfRule>
  </conditionalFormatting>
  <dataValidations count="5">
    <dataValidation type="list" allowBlank="1" showInputMessage="1" showErrorMessage="1" sqref="C19 C21 C69 C23 C25 C27 C29 C31 C33 C35 C37 C39 C41 C43 C45 C47 C49 C51 C53 C55 C57 C59 C61 C63 C65 C67" xr:uid="{00000000-0002-0000-0100-000000000000}">
      <formula1>"00,01,02,03"</formula1>
    </dataValidation>
    <dataValidation type="list" allowBlank="1" showInputMessage="1" showErrorMessage="1" sqref="D19 D21 D69 D23 D25 D27 D29 D31 D33 D35 D37 D39 D41 D43 D45 D47 D49 D51 D53 D55 D57 D59 D61 D63 D65 D67" xr:uid="{00000000-0002-0000-0100-000001000000}">
      <formula1>"00,01,02,03,04,05,06,07,08,09,10,11,12,13,14,15,16,17,18,19,20,21,22,23,24,25,26,27,28,29,30,31,32,33,34,35,36,37,38,39,40,41,42,43,44,45,46,47,48,49,50,51,52,53,54,55,56,57,58,59"</formula1>
    </dataValidation>
    <dataValidation type="list" allowBlank="1" showInputMessage="1" showErrorMessage="1" sqref="L7:L8" xr:uid="{00000000-0002-0000-0100-000002000000}">
      <formula1>"Y,N,y,n"</formula1>
    </dataValidation>
    <dataValidation type="list" allowBlank="1" showInputMessage="1" showErrorMessage="1" sqref="A5:D5" xr:uid="{00000000-0002-0000-0100-000003000000}">
      <formula1>"Federation:,Club:"</formula1>
    </dataValidation>
    <dataValidation type="list" allowBlank="1" showInputMessage="1" showErrorMessage="1" sqref="J19:AC19 J21:AC21 J23:AC23 J25:AC25 J27:AC27 J29:AC29 J31:AC31 J33:AC33 J35:AC35 J37:AC37 J39:AC39 J41:AC41 J43:AC43 J45:AC45 J47:AC47 J49:AC49 J51:AC51 J53:AC53 J55:AC55 J57:AC57 J59:AC59 J61:AC61 J63:AC63 J65:AC65 J67:AC67" xr:uid="{00000000-0002-0000-0100-000004000000}">
      <formula1>INDIRECT(AV19)</formula1>
    </dataValidation>
  </dataValidations>
  <printOptions horizontalCentered="1" verticalCentered="1"/>
  <pageMargins left="0.25" right="0.25" top="0.75" bottom="0.75" header="0.3" footer="0.3"/>
  <pageSetup scale="56" orientation="landscape" horizontalDpi="4294967293" verticalDpi="0" r:id="rId1"/>
  <drawing r:id="rId2"/>
  <extLst>
    <ext xmlns:x14="http://schemas.microsoft.com/office/spreadsheetml/2009/9/main" uri="{78C0D931-6437-407d-A8EE-F0AAD7539E65}">
      <x14:conditionalFormattings>
        <x14:conditionalFormatting xmlns:xm="http://schemas.microsoft.com/office/excel/2006/main">
          <x14:cfRule type="expression" priority="11220" id="{738B32AF-74F7-400B-88A7-B74A2C056FA2}">
            <xm:f>AND(NOT(ISERROR(VLOOKUP(J19,TREDD!$E$3:$E$13,1,FALSE))),E20=3)</xm:f>
            <x14:dxf>
              <fill>
                <patternFill>
                  <bgColor rgb="FFFFA3A3"/>
                </patternFill>
              </fill>
            </x14:dxf>
          </x14:cfRule>
          <xm:sqref>J19 J21 J23 J25 J27 J29 J31 J33 J35 J37 J39 J41 J43 J45 J47 J49 J51 J53 J55 J57 J59 J61 J63 J65 J67 J69</xm:sqref>
        </x14:conditionalFormatting>
        <x14:conditionalFormatting xmlns:xm="http://schemas.microsoft.com/office/excel/2006/main">
          <x14:cfRule type="expression" priority="11457" id="{25D8D157-A45C-4751-954C-46A4CD9A2562}">
            <xm:f>AND($DI19="X",INDEX(HybridDD!$A$4:$A$473,MATCH(J19,HybridDD!$B$4:$B$473,0))=$DI20)</xm:f>
            <x14:dxf>
              <font>
                <b/>
                <i val="0"/>
              </font>
              <fill>
                <patternFill>
                  <bgColor rgb="FFFFA3A3"/>
                </patternFill>
              </fill>
            </x14:dxf>
          </x14:cfRule>
          <xm:sqref>J19:AC19 J21:AC21 J23:AC23 J25:AC25 J27:AC27 J29:AC29 J31:AC31 J33:AC33 J35:AC35 J37:AC37 J39:AC39 J41:AC41 J43:AC43 J45:AC45 J47:AC47 J49:AC49 J51:AC51 J53:AC53 J55:AC55 J57:AC57 J59:AC59 J61:AC61 J63:AC63 J65:AC65 J67:AC67</xm:sqref>
        </x14:conditionalFormatting>
      </x14:conditionalFormattings>
    </ext>
    <ext xmlns:x14="http://schemas.microsoft.com/office/spreadsheetml/2009/9/main" uri="{CCE6A557-97BC-4b89-ADB6-D9C93CAAB3DF}">
      <x14:dataValidations xmlns:xm="http://schemas.microsoft.com/office/excel/2006/main" count="24">
        <x14:dataValidation type="list" allowBlank="1" showInputMessage="1" showErrorMessage="1" xr:uid="{00000000-0002-0000-0100-000005000000}">
          <x14:formula1>
            <xm:f>IF(AND($BS$5="OK",E20="H",H19&lt;&gt;"No DD",F19&lt;&gt;"Hybrid - Solo",F19&lt;&gt;"Hybrid - Duet"),HybridBonus_Code,Data!$BI$1:$BI$5)</xm:f>
          </x14:formula1>
          <xm:sqref>AD19 AD21 AD23 AD25 AD27 AD29 AD31 AD33 AD35 AD37 AD39 AD41 AD43 AD45 AD47 AD49 AD51 AD53 AD55 AD57 AD59 AD61 AD63 AD65 AD67</xm:sqref>
        </x14:dataValidation>
        <x14:dataValidation type="list" allowBlank="1" showInputMessage="1" showErrorMessage="1" xr:uid="{00000000-0002-0000-0100-000006000000}">
          <x14:formula1>
            <xm:f>IF(E70="H",HybridDD,IF(E70=3,Data!$BJ$1:$BJ$5,IF(E70="A",AcroADD2,IF(E70="B",AcroBDD2,IF(E70="C",AcroCDD2,IF(E70="P",AcroPDD2,Data!$BJ$1:$BJ$5))))))</xm:f>
          </x14:formula1>
          <xm:sqref>K69</xm:sqref>
        </x14:dataValidation>
        <x14:dataValidation type="list" allowBlank="1" showInputMessage="1" showErrorMessage="1" xr:uid="{00000000-0002-0000-0100-000007000000}">
          <x14:formula1>
            <xm:f>IF(E70="H",HybridDD,IF(E70=3,Data!$BJ$1:$BJ$5,IF(E70="A",AcroADD3,IF(E70="B",AcroBDD3,IF(E70="C",AcroCDD3,IF(E70="P",AcroPDD3,Data!$BJ$1:$BJ$5))))))</xm:f>
          </x14:formula1>
          <xm:sqref>L69</xm:sqref>
        </x14:dataValidation>
        <x14:dataValidation type="list" allowBlank="1" showInputMessage="1" showErrorMessage="1" xr:uid="{00000000-0002-0000-0100-000008000000}">
          <x14:formula1>
            <xm:f>IF(E70="H",HybridDD,IF(E70=3,Data!$BJ$1:$BJ$5,IF(E70="A",AcroADD4p1,IF(E70="B",AcroBDD4p1,IF(E70="C",AcroCDD4p1,IF(E70="P",AcroPDD4p1,Data!$BJ$1:$BJ$5))))))</xm:f>
          </x14:formula1>
          <xm:sqref>M69</xm:sqref>
        </x14:dataValidation>
        <x14:dataValidation type="list" allowBlank="1" showInputMessage="1" showErrorMessage="1" xr:uid="{00000000-0002-0000-0100-000009000000}">
          <x14:formula1>
            <xm:f>IF(E70="H",HybridDD,Data!$BJ$1:$BJ$5)</xm:f>
          </x14:formula1>
          <xm:sqref>Q69</xm:sqref>
        </x14:dataValidation>
        <x14:dataValidation type="list" allowBlank="1" showInputMessage="1" showErrorMessage="1" xr:uid="{00000000-0002-0000-0100-00000A000000}">
          <x14:formula1>
            <xm:f>IF(E70="H",HybridDD,Data!$BJ$1:$BJ$5)</xm:f>
          </x14:formula1>
          <xm:sqref>R69</xm:sqref>
        </x14:dataValidation>
        <x14:dataValidation type="list" allowBlank="1" showInputMessage="1" showErrorMessage="1" xr:uid="{00000000-0002-0000-0100-00000B000000}">
          <x14:formula1>
            <xm:f>IF(E70="H",HybridDD,Data!$BJ$1:$BJ$5)</xm:f>
          </x14:formula1>
          <xm:sqref>AC69</xm:sqref>
        </x14:dataValidation>
        <x14:dataValidation type="list" allowBlank="1" showInputMessage="1" showErrorMessage="1" xr:uid="{00000000-0002-0000-0100-00000C000000}">
          <x14:formula1>
            <xm:f>IF(E70="H",HybridDD,Data!$BJ$1:$BJ$5)</xm:f>
          </x14:formula1>
          <xm:sqref>AB69</xm:sqref>
        </x14:dataValidation>
        <x14:dataValidation type="list" allowBlank="1" showInputMessage="1" showErrorMessage="1" xr:uid="{00000000-0002-0000-0100-00000D000000}">
          <x14:formula1>
            <xm:f>IF(E70="H",HybridDD,Data!$BJ$1:$BJ$5)</xm:f>
          </x14:formula1>
          <xm:sqref>X69</xm:sqref>
        </x14:dataValidation>
        <x14:dataValidation type="list" allowBlank="1" showInputMessage="1" showErrorMessage="1" xr:uid="{00000000-0002-0000-0100-00000E000000}">
          <x14:formula1>
            <xm:f>IF(E70="H",HybridDD,Data!$BJ$1:$BJ$5)</xm:f>
          </x14:formula1>
          <xm:sqref>W69</xm:sqref>
        </x14:dataValidation>
        <x14:dataValidation type="list" allowBlank="1" showInputMessage="1" showErrorMessage="1" xr:uid="{00000000-0002-0000-0100-00000F000000}">
          <x14:formula1>
            <xm:f>IF(E70="H",HybridDD,Data!$BJ$1:$BJ$5)</xm:f>
          </x14:formula1>
          <xm:sqref>T69</xm:sqref>
        </x14:dataValidation>
        <x14:dataValidation type="list" allowBlank="1" showInputMessage="1" showErrorMessage="1" xr:uid="{00000000-0002-0000-0100-000010000000}">
          <x14:formula1>
            <xm:f>IF(E70="H",HybridDD,Data!$BJ$1:$BJ$5)</xm:f>
          </x14:formula1>
          <xm:sqref>U69</xm:sqref>
        </x14:dataValidation>
        <x14:dataValidation type="list" allowBlank="1" showInputMessage="1" showErrorMessage="1" xr:uid="{00000000-0002-0000-0100-000011000000}">
          <x14:formula1>
            <xm:f>IF(E70="H",HybridDD,Data!$BJ$1:$BJ$5)</xm:f>
          </x14:formula1>
          <xm:sqref>S69</xm:sqref>
        </x14:dataValidation>
        <x14:dataValidation type="list" allowBlank="1" showInputMessage="1" showErrorMessage="1" xr:uid="{00000000-0002-0000-0100-000012000000}">
          <x14:formula1>
            <xm:f>IF(E70="H",HybridDD,Data!$BJ$1:$BJ$5)</xm:f>
          </x14:formula1>
          <xm:sqref>V69</xm:sqref>
        </x14:dataValidation>
        <x14:dataValidation type="list" allowBlank="1" showInputMessage="1" showErrorMessage="1" xr:uid="{00000000-0002-0000-0100-000013000000}">
          <x14:formula1>
            <xm:f>IF(E70="H",HybridDD,IF(E70=3,Data!$BJ$1:$BJ$5,IF(E70="A",AcroADD4p2,IF(E70="B",AcroBDD4p2,IF(E70="C",AcroCDD4p2,IF(E70="P",AcroPDD4p2,Data!$BJ$1:$BJ$5))))))</xm:f>
          </x14:formula1>
          <xm:sqref>N69</xm:sqref>
        </x14:dataValidation>
        <x14:dataValidation type="list" allowBlank="1" showInputMessage="1" showErrorMessage="1" xr:uid="{00000000-0002-0000-0100-000014000000}">
          <x14:formula1>
            <xm:f>IF(E70="H",HybridDD,IF(E70=3,Data!$BJ$1:$BJ$5,IF(E70="A",AcroADD5,IF(E70="B",AcroBDD5,IF(E70="C",AcroCDD5,IF(E70="P",AcroPDD5,Data!$BJ$1:$BJ$5))))))</xm:f>
          </x14:formula1>
          <xm:sqref>O69</xm:sqref>
        </x14:dataValidation>
        <x14:dataValidation type="list" allowBlank="1" showInputMessage="1" showErrorMessage="1" xr:uid="{00000000-0002-0000-0100-000015000000}">
          <x14:formula1>
            <xm:f>IF(E70="H",HybridDD,IF(E70=3,Data!$BJ$1:$BJ$5,IF(E70="A",Data!$BJ$1:$BJ$5,IF(E70="B",Data!$BJ$1:$BJ$5,IF(E70="C",AcroCDD6,IF(E70="P",Data!$BJ$1:$BJ$5,Data!$BJ$1:$BJ$5))))))</xm:f>
          </x14:formula1>
          <xm:sqref>P69</xm:sqref>
        </x14:dataValidation>
        <x14:dataValidation type="list" allowBlank="1" showInputMessage="1" showErrorMessage="1" xr:uid="{00000000-0002-0000-0100-000016000000}">
          <x14:formula1>
            <xm:f>IF(E70="H",HybridDD,IF(E70=3,TreDD,IF(E70="A",AcroADD1,IF(E70="B",AcroBDD1,IF(E70="C",AcroCDD1,IF(E70="P",AcroPDD1,IF(E70="PA",AcroPairDD,Data!$BJ$1:$BJ$5)))))))</xm:f>
          </x14:formula1>
          <xm:sqref>J69</xm:sqref>
        </x14:dataValidation>
        <x14:dataValidation type="list" allowBlank="1" showInputMessage="1" xr:uid="{00000000-0002-0000-0100-000017000000}">
          <x14:formula1>
            <xm:f>IF($A$5="Federation:",Data!$CF$1:$CF$209,Data!$CH$1:$CH$2)</xm:f>
          </x14:formula1>
          <xm:sqref>F5</xm:sqref>
        </x14:dataValidation>
        <x14:dataValidation type="list" allowBlank="1" showInputMessage="1" showErrorMessage="1" xr:uid="{00000000-0002-0000-0100-000018000000}">
          <x14:formula1>
            <xm:f>IF(D70="H",HybridDD,Data!$BJ$1:$BJ$5)</xm:f>
          </x14:formula1>
          <xm:sqref>Y69</xm:sqref>
        </x14:dataValidation>
        <x14:dataValidation type="list" allowBlank="1" showInputMessage="1" showErrorMessage="1" xr:uid="{00000000-0002-0000-0100-000019000000}">
          <x14:formula1>
            <xm:f>IF(D70="H",HybridDD,Data!$BJ$1:$BJ$5)</xm:f>
          </x14:formula1>
          <xm:sqref>Z69:AA69</xm:sqref>
        </x14:dataValidation>
        <x14:dataValidation type="list" allowBlank="1" showInputMessage="1" showErrorMessage="1" xr:uid="{00000000-0002-0000-0100-00001A000000}">
          <x14:formula1>
            <xm:f>IF($BS$8="T",Data!$C$14:$C$16,IF($BS$8="F",Data!$C$10:$C$11,IF($BS$8="A",Data!$C$14:$C$16,Data!$C$3:$C$7)))</xm:f>
          </x14:formula1>
          <xm:sqref>F7</xm:sqref>
        </x14:dataValidation>
        <x14:dataValidation type="list" allowBlank="1" showInputMessage="1" showErrorMessage="1" xr:uid="{00000000-0002-0000-0100-00001B000000}">
          <x14:formula1>
            <xm:f>IF($BS$7=1,Data!$A$17:$A$22,IF($BS$7=2,Data!$A$25:$A$35,Data!$A$3:$A$14))</xm:f>
          </x14:formula1>
          <xm:sqref>F8</xm:sqref>
        </x14:dataValidation>
        <x14:dataValidation type="list" allowBlank="1" showInputMessage="1" showErrorMessage="1" xr:uid="{00000000-0002-0000-0100-00001C000000}">
          <x14:formula1>
            <xm:f>Data!$E$2:$E$11</xm:f>
          </x14:formula1>
          <xm:sqref>F19 F69 F21 F23 F25 F27 F29 F31 F33 F35 F37 F39 F41 F43 F45 F47 F49 F51 F53 F55 F57 F59 F61 F63 F65 F67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Blad3">
    <pageSetUpPr fitToPage="1"/>
  </sheetPr>
  <dimension ref="A1:P47"/>
  <sheetViews>
    <sheetView zoomScaleNormal="100" workbookViewId="0">
      <selection activeCell="E2" sqref="E2"/>
    </sheetView>
  </sheetViews>
  <sheetFormatPr defaultColWidth="9.109375" defaultRowHeight="13.2" x14ac:dyDescent="0.3"/>
  <cols>
    <col min="1" max="1" width="13" style="83" customWidth="1"/>
    <col min="2" max="2" width="12" style="83" customWidth="1"/>
    <col min="3" max="3" width="4" style="83" customWidth="1"/>
    <col min="4" max="4" width="1.88671875" style="83" customWidth="1"/>
    <col min="5" max="6" width="12.6640625" style="83" customWidth="1"/>
    <col min="7" max="7" width="1.88671875" style="83" customWidth="1"/>
    <col min="8" max="8" width="31" style="83" customWidth="1"/>
    <col min="9" max="9" width="1.88671875" style="83" customWidth="1"/>
    <col min="10" max="10" width="19.109375" style="83" customWidth="1"/>
    <col min="11" max="11" width="18" style="83" customWidth="1"/>
    <col min="12" max="12" width="1.88671875" style="83" customWidth="1"/>
    <col min="13" max="13" width="11.109375" style="83" customWidth="1"/>
    <col min="14" max="14" width="8.44140625" style="83" customWidth="1"/>
    <col min="15" max="15" width="7.5546875" style="83" customWidth="1"/>
    <col min="16" max="16" width="9.109375" style="149" hidden="1" customWidth="1"/>
    <col min="17" max="16384" width="9.109375" style="83"/>
  </cols>
  <sheetData>
    <row r="1" spans="1:16" ht="12" customHeight="1" x14ac:dyDescent="0.25">
      <c r="A1" s="82"/>
    </row>
    <row r="2" spans="1:16" ht="39.9" customHeight="1" x14ac:dyDescent="0.25">
      <c r="H2" s="102" t="s">
        <v>630</v>
      </c>
    </row>
    <row r="3" spans="1:16" ht="15" customHeight="1" x14ac:dyDescent="0.25"/>
    <row r="4" spans="1:16" ht="9" customHeight="1" x14ac:dyDescent="0.25">
      <c r="A4" s="84" t="str">
        <f>CONCATENATE("In force as from 1 March 2024 ",'Coach Card'!AE4)</f>
        <v>In force as from 1 March 2024 v. 6.5</v>
      </c>
    </row>
    <row r="5" spans="1:16" ht="33" customHeight="1" x14ac:dyDescent="0.25">
      <c r="A5" s="313" t="str">
        <f>IF('Coach Card'!A5="Club:","Club:",CONCATENATE("FINA Member Federation:"))</f>
        <v>Club:</v>
      </c>
      <c r="B5" s="314"/>
      <c r="C5" s="315"/>
      <c r="D5" s="85"/>
      <c r="E5" s="322" t="str">
        <f>IF('Coach Card'!A5="Club:",IF('Coach Card'!F5&lt;&gt;"",'Coach Card'!F5,""),IF('Coach Card'!F5&lt;&gt;"",CONCATENATE('Coach Card'!F5," - ",'Coach Card'!L5),""))</f>
        <v/>
      </c>
      <c r="F5" s="322"/>
      <c r="G5" s="322"/>
      <c r="H5" s="322"/>
      <c r="I5" s="322"/>
      <c r="J5" s="322"/>
      <c r="K5" s="322"/>
      <c r="L5" s="322"/>
      <c r="M5" s="322"/>
      <c r="N5" s="342" t="s">
        <v>1384</v>
      </c>
      <c r="O5" s="343"/>
    </row>
    <row r="6" spans="1:16" ht="33" customHeight="1" x14ac:dyDescent="0.3">
      <c r="A6" s="313" t="s">
        <v>608</v>
      </c>
      <c r="B6" s="314"/>
      <c r="C6" s="315"/>
      <c r="D6" s="85"/>
      <c r="E6" s="322" t="str">
        <f>IF('Coach Card'!F6&lt;&gt;"",'Coach Card'!F6,"")</f>
        <v/>
      </c>
      <c r="F6" s="322"/>
      <c r="G6" s="322"/>
      <c r="H6" s="322"/>
      <c r="I6" s="322"/>
      <c r="J6" s="322"/>
      <c r="K6" s="322"/>
      <c r="L6" s="322"/>
      <c r="M6" s="322"/>
      <c r="N6" s="344"/>
      <c r="O6" s="345"/>
    </row>
    <row r="7" spans="1:16" ht="33" customHeight="1" x14ac:dyDescent="0.3">
      <c r="A7" s="313" t="s">
        <v>4</v>
      </c>
      <c r="B7" s="314"/>
      <c r="C7" s="315"/>
      <c r="D7" s="85"/>
      <c r="E7" s="333" t="str">
        <f>IF('Coach Card'!F7&lt;&gt;"",'Coach Card'!F7,"")</f>
        <v/>
      </c>
      <c r="F7" s="333"/>
      <c r="G7" s="333"/>
      <c r="H7" s="333"/>
      <c r="I7" s="333"/>
      <c r="J7" s="333"/>
      <c r="K7" s="333"/>
      <c r="L7" s="333"/>
      <c r="M7" s="333"/>
      <c r="N7" s="346"/>
      <c r="O7" s="347"/>
    </row>
    <row r="8" spans="1:16" ht="18" customHeight="1" x14ac:dyDescent="0.25">
      <c r="A8" s="339" t="s">
        <v>609</v>
      </c>
      <c r="B8" s="340"/>
      <c r="C8" s="341"/>
      <c r="D8" s="86" t="str">
        <f>IF('Coach Card'!N5&lt;&gt;"","X","")</f>
        <v/>
      </c>
      <c r="E8" s="334" t="s">
        <v>610</v>
      </c>
      <c r="F8" s="335"/>
      <c r="G8" s="86" t="str">
        <f>IF('Coach Card'!P5&lt;&gt;"","X","")</f>
        <v>X</v>
      </c>
      <c r="H8" s="87" t="s">
        <v>611</v>
      </c>
      <c r="I8" s="88"/>
      <c r="J8" s="336"/>
      <c r="K8" s="336"/>
      <c r="L8" s="89"/>
      <c r="M8" s="336"/>
      <c r="N8" s="337"/>
      <c r="O8" s="338"/>
    </row>
    <row r="9" spans="1:16" ht="18.899999999999999" customHeight="1" x14ac:dyDescent="0.15">
      <c r="A9" s="90"/>
      <c r="B9" s="91"/>
      <c r="C9" s="92"/>
      <c r="D9" s="86" t="str">
        <f>IF('Coach Card'!F8=E9,"X","")</f>
        <v/>
      </c>
      <c r="E9" s="334" t="s">
        <v>1338</v>
      </c>
      <c r="F9" s="335"/>
      <c r="G9" s="86" t="str">
        <f>IF('Coach Card'!F8=H9,"X","")</f>
        <v/>
      </c>
      <c r="H9" s="87" t="s">
        <v>3</v>
      </c>
      <c r="I9" s="86" t="str">
        <f>IF('Coach Card'!F8=J9,"X","")</f>
        <v/>
      </c>
      <c r="J9" s="334" t="s">
        <v>1340</v>
      </c>
      <c r="K9" s="335"/>
      <c r="L9" s="86" t="str">
        <f>IF('Coach Card'!F8=M9,"X","")</f>
        <v/>
      </c>
      <c r="M9" s="334" t="s">
        <v>10</v>
      </c>
      <c r="N9" s="348"/>
      <c r="O9" s="335"/>
    </row>
    <row r="10" spans="1:16" ht="18" customHeight="1" x14ac:dyDescent="0.3">
      <c r="A10" s="327"/>
      <c r="B10" s="328"/>
      <c r="C10" s="329"/>
      <c r="D10" s="86" t="str">
        <f>IF('Coach Card'!F8=E10,"X","")</f>
        <v/>
      </c>
      <c r="E10" s="334" t="s">
        <v>1339</v>
      </c>
      <c r="F10" s="335"/>
      <c r="G10" s="86" t="str">
        <f>IF('Coach Card'!F8=H10,"X","")</f>
        <v/>
      </c>
      <c r="H10" s="87" t="s">
        <v>9</v>
      </c>
      <c r="I10" s="86" t="str">
        <f>IF('Coach Card'!F8=J10,"X","")</f>
        <v/>
      </c>
      <c r="J10" s="334" t="s">
        <v>1341</v>
      </c>
      <c r="K10" s="335"/>
      <c r="L10" s="86" t="str">
        <f>IF('Coach Card'!F8=M10,"X","")</f>
        <v/>
      </c>
      <c r="M10" s="334" t="s">
        <v>11</v>
      </c>
      <c r="N10" s="348"/>
      <c r="O10" s="335"/>
    </row>
    <row r="11" spans="1:16" ht="18" customHeight="1" x14ac:dyDescent="0.3">
      <c r="A11" s="330"/>
      <c r="B11" s="331"/>
      <c r="C11" s="332"/>
      <c r="D11" s="86" t="str">
        <f>IF('Coach Card'!F8=E11,"X","")</f>
        <v/>
      </c>
      <c r="E11" s="334" t="s">
        <v>1342</v>
      </c>
      <c r="F11" s="335"/>
      <c r="G11" s="86" t="str">
        <f>IF('Coach Card'!F8=H11,"X","")</f>
        <v/>
      </c>
      <c r="H11" s="87" t="s">
        <v>1343</v>
      </c>
      <c r="I11" s="86" t="str">
        <f>IF('Coach Card'!F8=J11,"X","")</f>
        <v/>
      </c>
      <c r="J11" s="334" t="s">
        <v>1345</v>
      </c>
      <c r="K11" s="335"/>
      <c r="L11" s="86" t="str">
        <f>IF('Coach Card'!F8=M11,"X","")</f>
        <v/>
      </c>
      <c r="M11" s="334" t="s">
        <v>1344</v>
      </c>
      <c r="N11" s="348"/>
      <c r="O11" s="335"/>
    </row>
    <row r="12" spans="1:16" ht="33" customHeight="1" x14ac:dyDescent="0.25">
      <c r="A12" s="313" t="s">
        <v>612</v>
      </c>
      <c r="B12" s="314"/>
      <c r="C12" s="315"/>
      <c r="D12" s="85"/>
      <c r="E12" s="322" t="str">
        <f>IF('Coach Card'!N6&lt;&gt;"",'Coach Card'!N6,"")</f>
        <v/>
      </c>
      <c r="F12" s="322"/>
      <c r="G12" s="322"/>
      <c r="H12" s="322"/>
      <c r="I12" s="322"/>
      <c r="J12" s="322"/>
      <c r="K12" s="322"/>
      <c r="L12" s="322"/>
      <c r="M12" s="322"/>
      <c r="N12" s="322"/>
      <c r="O12" s="323"/>
    </row>
    <row r="13" spans="1:16" ht="33" customHeight="1" x14ac:dyDescent="0.25">
      <c r="A13" s="313" t="s">
        <v>613</v>
      </c>
      <c r="B13" s="314"/>
      <c r="C13" s="315"/>
      <c r="D13" s="85"/>
      <c r="E13" s="322" t="str">
        <f>IF('Coach Card'!F9&lt;&gt;"",'Coach Card'!F9,"")</f>
        <v/>
      </c>
      <c r="F13" s="322"/>
      <c r="G13" s="322"/>
      <c r="H13" s="322"/>
      <c r="I13" s="322"/>
      <c r="J13" s="322"/>
      <c r="K13" s="322"/>
      <c r="L13" s="322"/>
      <c r="M13" s="322"/>
      <c r="N13" s="322"/>
      <c r="O13" s="323"/>
    </row>
    <row r="14" spans="1:16" ht="20.100000000000001" customHeight="1" x14ac:dyDescent="0.25">
      <c r="A14" s="316" t="s">
        <v>614</v>
      </c>
      <c r="B14" s="317"/>
      <c r="C14" s="317"/>
      <c r="D14" s="317"/>
      <c r="E14" s="317"/>
      <c r="F14" s="317"/>
      <c r="G14" s="317"/>
      <c r="H14" s="317"/>
      <c r="I14" s="317"/>
      <c r="J14" s="317"/>
      <c r="K14" s="317"/>
      <c r="L14" s="317"/>
      <c r="M14" s="318"/>
      <c r="N14" s="317"/>
      <c r="O14" s="319"/>
    </row>
    <row r="15" spans="1:16" ht="23.25" customHeight="1" x14ac:dyDescent="0.25">
      <c r="A15" s="96" t="s">
        <v>615</v>
      </c>
      <c r="B15" s="96" t="s">
        <v>616</v>
      </c>
      <c r="C15" s="320" t="s">
        <v>617</v>
      </c>
      <c r="D15" s="321"/>
      <c r="E15" s="96" t="s">
        <v>618</v>
      </c>
      <c r="F15" s="324" t="s">
        <v>619</v>
      </c>
      <c r="G15" s="325"/>
      <c r="H15" s="325"/>
      <c r="I15" s="325"/>
      <c r="J15" s="325"/>
      <c r="K15" s="325"/>
      <c r="L15" s="326"/>
      <c r="M15" s="212" t="str">
        <f>IF('Coach Card'!AD16&lt;&gt;"","HYBRID BONUS","")</f>
        <v/>
      </c>
      <c r="N15" s="207" t="s">
        <v>620</v>
      </c>
      <c r="O15" s="103" t="s">
        <v>637</v>
      </c>
    </row>
    <row r="16" spans="1:16" ht="24.9" customHeight="1" x14ac:dyDescent="0.25">
      <c r="A16" s="129" t="str">
        <f>IFERROR(IF('Coach Card'!D19&lt;&gt;"",IF('Coach Card'!C19&lt;&gt;"",CONCATENATE("0",'Coach Card'!A19,":",IF('Coach Card'!B19&lt;10,CONCATENATE("0",'Coach Card'!B19),'Coach Card'!B19)," - 0",'Coach Card'!C19,":",IF('Coach Card'!D19&lt;10,CONCATENATE("0",'Coach Card'!D19),'Coach Card'!D19)),""),""),"")</f>
        <v/>
      </c>
      <c r="B16" s="129" t="str">
        <f ca="1">IF(OFFSET('Coach Card'!$F$17,P16,0)="Transition","Transition",IF(OFFSET('Coach Card'!$F$17,P16,0)="Transition - Surface Connection","SurfaceConn",IF(OFFSET('Coach Card'!$F$17,P16,0)="Hybrid - Thrust + 2 connections","Req.Hybrid",IF(LEFT(OFFSET('Coach Card'!$F$17,P16,0),4)="Hybr","Hybrid",IF(LEFT(OFFSET('Coach Card'!$F$17,P16,0),4)="Acro",IF(RIGHT(OFFSET('Coach Card'!$F$17,P16,0),4)="Pair","Pair Acro","Acrobatic"),IF(LEFT(OFFSET('Coach Card'!$F$17,P16,0),4)="Tech","TRE",""))))))</f>
        <v/>
      </c>
      <c r="C16" s="300" t="str">
        <f ca="1">IF(OFFSET('Coach Card'!$G$17,P16,0)&gt;0,OFFSET('Coach Card'!$G$17,P16,0),"")</f>
        <v/>
      </c>
      <c r="D16" s="301"/>
      <c r="E16" s="129" t="str">
        <f ca="1">IF(OFFSET('Coach Card'!$H$17,P16,0)&gt;0,IF(B16="Transition","",OFFSET('Coach Card'!$H$17,P16,0)),"")</f>
        <v/>
      </c>
      <c r="F16" s="305" t="str">
        <f ca="1">CONCATENATE(OFFSET('Coach Card'!$J$17,P16,0),IF(OFFSET('Coach Card'!$K$17,P16,0)&lt;&gt;"","-",""),OFFSET('Coach Card'!$K$17,P16,0),IF(OFFSET('Coach Card'!$L$17,P16,0)&lt;&gt;"","-",""),OFFSET('Coach Card'!$L$17,P16,0),IF(OFFSET('Coach Card'!$M$17,P16,0)&lt;&gt;"","-",""),OFFSET('Coach Card'!$M$17,P16,0),IF(AND(OFFSET('Coach Card'!$N$17,P16,0)&lt;&gt;"",RIGHT(OFFSET('Coach Card'!$M$17,P16,0),1)&lt;&gt;"+"),IF(LEFT(OFFSET('Coach Card'!$N$17,P16,0),1)="2","/","-"),""),OFFSET('Coach Card'!$N$17,P16,0),IF(OFFSET('Coach Card'!$O$17,P16,0)&lt;&gt;"",IF(LEFT(OFFSET('Coach Card'!$O$17,P16,0),1)="2","/","-"),""),OFFSET('Coach Card'!$O$17,P16,0),IF(OFFSET('Coach Card'!$P$17,P16,0)&lt;&gt;"","-",""),OFFSET('Coach Card'!$P$17,P16,0),IF(OFFSET('Coach Card'!$Q$17,P16,0)&lt;&gt;"","-",""),OFFSET('Coach Card'!$Q$17,P16,0),IF(OFFSET('Coach Card'!$R$17,P16,0)&lt;&gt;"",IF(LEFT(B16,4)="Acro","/","-"),""),OFFSET('Coach Card'!$R$17,P16,0),IF(OFFSET('Coach Card'!$S$17,P16,0)&lt;&gt;"","-",""),OFFSET('Coach Card'!$S$17,P16,0),IF(OFFSET('Coach Card'!$T$17,P16,0)&lt;&gt;"","-",""),OFFSET('Coach Card'!$T$17,P16,0),IF(OFFSET('Coach Card'!$U$17,P16,0)&lt;&gt;"","-",""),OFFSET('Coach Card'!$U$17,P16,0),IF(OFFSET('Coach Card'!$V$17,P16,0)&lt;&gt;"","-",""),OFFSET('Coach Card'!$V$17,P16,0),IF(OFFSET('Coach Card'!$W$17,P16,0)&lt;&gt;"","-",""),OFFSET('Coach Card'!$W$17,P16,0),IF(OFFSET('Coach Card'!$X$17,P16,0)&lt;&gt;"","-",""),OFFSET('Coach Card'!$X$17,P16,0),IF(OFFSET('Coach Card'!$Y$17,P16,0)&lt;&gt;"","-",""),OFFSET('Coach Card'!$Y$17,P16,0),IF(OFFSET('Coach Card'!$Z$17,P16,0)&lt;&gt;"","-",""),OFFSET('Coach Card'!$Z$17,P16,0),IF(OFFSET('Coach Card'!$AA$17,P16,0)&lt;&gt;"","-",""),OFFSET('Coach Card'!$AA$17,P16,0),IF(OFFSET('Coach Card'!$AB$17,P16,0)&lt;&gt;"","-",""),OFFSET('Coach Card'!$AB$17,P16,0),IF(OFFSET('Coach Card'!$AC$17,P16,0)&lt;&gt;"","-",""),OFFSET('Coach Card'!$AC$17,P16,0))</f>
        <v/>
      </c>
      <c r="G16" s="306"/>
      <c r="H16" s="306"/>
      <c r="I16" s="306"/>
      <c r="J16" s="306"/>
      <c r="K16" s="306"/>
      <c r="L16" s="307"/>
      <c r="M16" s="213" t="str">
        <f ca="1">IF(OR(LEFT(B16,4)="Acro",LEFT(B16,1)="T",LEFT(B16,1)=""),"",IF(OFFSET('Coach Card'!$AD$17,P16,0)="","",OFFSET('Coach Card'!$AD$17,P16,0)))</f>
        <v/>
      </c>
      <c r="N16" s="214" t="str">
        <f ca="1">IF(OFFSET('Coach Card'!$AE$18,P16,0)=0,"",OFFSET('Coach Card'!$AE$18,P16,0))</f>
        <v/>
      </c>
      <c r="O16" s="238"/>
      <c r="P16" s="149">
        <v>2</v>
      </c>
    </row>
    <row r="17" spans="1:16" ht="24.9" customHeight="1" x14ac:dyDescent="0.25">
      <c r="A17" s="129" t="str">
        <f>IFERROR(IF('Coach Card'!D21&lt;&gt;"",IF('Coach Card'!C21&lt;&gt;"",CONCATENATE("0",'Coach Card'!A21,":",IF('Coach Card'!B21&lt;10,CONCATENATE("0",'Coach Card'!B21),'Coach Card'!B21)," - 0",'Coach Card'!C21,":",IF('Coach Card'!D21&lt;10,CONCATENATE("0",'Coach Card'!D21),'Coach Card'!D21)),""),""),"")</f>
        <v/>
      </c>
      <c r="B17" s="129" t="str">
        <f ca="1">IF(OFFSET('Coach Card'!$F$17,P17,0)="Transition","Transition",IF(OFFSET('Coach Card'!$F$17,P17,0)="Transition - Surface Connection","SurfaceConn",IF(OFFSET('Coach Card'!$F$17,P17,0)="Hybrid - Thrust + 2 connections","Req.Hybrid",IF(LEFT(OFFSET('Coach Card'!$F$17,P17,0),4)="Hybr","Hybrid",IF(LEFT(OFFSET('Coach Card'!$F$17,P17,0),4)="Acro",IF(RIGHT(OFFSET('Coach Card'!$F$17,P17,0),4)="Pair","Pair Acro","Acrobatic"),IF(LEFT(OFFSET('Coach Card'!$F$17,P17,0),4)="Tech","TRE",""))))))</f>
        <v/>
      </c>
      <c r="C17" s="300" t="str">
        <f ca="1">IF(OFFSET('Coach Card'!$G$17,P17,0)&gt;0,OFFSET('Coach Card'!$G$17,P17,0),"")</f>
        <v/>
      </c>
      <c r="D17" s="301"/>
      <c r="E17" s="129" t="str">
        <f ca="1">IF(OFFSET('Coach Card'!$H$17,P17,0)&gt;0,IF(B17="Transition","",OFFSET('Coach Card'!$H$17,P17,0)),"")</f>
        <v/>
      </c>
      <c r="F17" s="305" t="str">
        <f ca="1">CONCATENATE(OFFSET('Coach Card'!$J$17,P17,0),IF(OFFSET('Coach Card'!$K$17,P17,0)&lt;&gt;"","-",""),OFFSET('Coach Card'!$K$17,P17,0),IF(OFFSET('Coach Card'!$L$17,P17,0)&lt;&gt;"","-",""),OFFSET('Coach Card'!$L$17,P17,0),IF(OFFSET('Coach Card'!$M$17,P17,0)&lt;&gt;"","-",""),OFFSET('Coach Card'!$M$17,P17,0),IF(AND(OFFSET('Coach Card'!$N$17,P17,0)&lt;&gt;"",RIGHT(OFFSET('Coach Card'!$M$17,P17,0),1)&lt;&gt;"+"),IF(LEFT(OFFSET('Coach Card'!$N$17,P17,0),1)="2","/","-"),""),OFFSET('Coach Card'!$N$17,P17,0),IF(OFFSET('Coach Card'!$O$17,P17,0)&lt;&gt;"",IF(LEFT(OFFSET('Coach Card'!$O$17,P17,0),1)="2","/","-"),""),OFFSET('Coach Card'!$O$17,P17,0),IF(OFFSET('Coach Card'!$P$17,P17,0)&lt;&gt;"","-",""),OFFSET('Coach Card'!$P$17,P17,0),IF(OFFSET('Coach Card'!$Q$17,P17,0)&lt;&gt;"","-",""),OFFSET('Coach Card'!$Q$17,P17,0),IF(OFFSET('Coach Card'!$R$17,P17,0)&lt;&gt;"",IF(LEFT(B17,4)="Acro","/","-"),""),OFFSET('Coach Card'!$R$17,P17,0),IF(OFFSET('Coach Card'!$S$17,P17,0)&lt;&gt;"","-",""),OFFSET('Coach Card'!$S$17,P17,0),IF(OFFSET('Coach Card'!$T$17,P17,0)&lt;&gt;"","-",""),OFFSET('Coach Card'!$T$17,P17,0),IF(OFFSET('Coach Card'!$U$17,P17,0)&lt;&gt;"","-",""),OFFSET('Coach Card'!$U$17,P17,0),IF(OFFSET('Coach Card'!$V$17,P17,0)&lt;&gt;"","-",""),OFFSET('Coach Card'!$V$17,P17,0),IF(OFFSET('Coach Card'!$W$17,P17,0)&lt;&gt;"","-",""),OFFSET('Coach Card'!$W$17,P17,0),IF(OFFSET('Coach Card'!$X$17,P17,0)&lt;&gt;"","-",""),OFFSET('Coach Card'!$X$17,P17,0),IF(OFFSET('Coach Card'!$Y$17,P17,0)&lt;&gt;"","-",""),OFFSET('Coach Card'!$Y$17,P17,0),IF(OFFSET('Coach Card'!$Z$17,P17,0)&lt;&gt;"","-",""),OFFSET('Coach Card'!$Z$17,P17,0),IF(OFFSET('Coach Card'!$AA$17,P17,0)&lt;&gt;"","-",""),OFFSET('Coach Card'!$AA$17,P17,0),IF(OFFSET('Coach Card'!$AB$17,P17,0)&lt;&gt;"","-",""),OFFSET('Coach Card'!$AB$17,P17,0),IF(OFFSET('Coach Card'!$AC$17,P17,0)&lt;&gt;"","-",""),OFFSET('Coach Card'!$AC$17,P17,0))</f>
        <v/>
      </c>
      <c r="G17" s="306"/>
      <c r="H17" s="306"/>
      <c r="I17" s="306"/>
      <c r="J17" s="306"/>
      <c r="K17" s="306"/>
      <c r="L17" s="307"/>
      <c r="M17" s="213" t="str">
        <f ca="1">IF(OR(LEFT(B17,4)="Acro",LEFT(B17,1)="T",LEFT(B17,1)=""),"",IF(OFFSET('Coach Card'!$AD$17,P17,0)="","",OFFSET('Coach Card'!$AD$17,P17,0)))</f>
        <v/>
      </c>
      <c r="N17" s="214" t="str">
        <f ca="1">IF(OFFSET('Coach Card'!$AE$18,P17,0)=0,"",OFFSET('Coach Card'!$AE$18,P17,0))</f>
        <v/>
      </c>
      <c r="O17" s="238"/>
      <c r="P17" s="149">
        <v>4</v>
      </c>
    </row>
    <row r="18" spans="1:16" ht="24.9" customHeight="1" x14ac:dyDescent="0.25">
      <c r="A18" s="129" t="str">
        <f>IFERROR(IF('Coach Card'!D23&lt;&gt;"",IF('Coach Card'!C23&lt;&gt;"",CONCATENATE("0",'Coach Card'!A23,":",IF('Coach Card'!B23&lt;10,CONCATENATE("0",'Coach Card'!B23),'Coach Card'!B23)," - 0",'Coach Card'!C23,":",IF('Coach Card'!D23&lt;10,CONCATENATE("0",'Coach Card'!D23),'Coach Card'!D23)),""),""),"")</f>
        <v/>
      </c>
      <c r="B18" s="129" t="str">
        <f ca="1">IF(OFFSET('Coach Card'!$F$17,P18,0)="Transition","Transition",IF(OFFSET('Coach Card'!$F$17,P18,0)="Transition - Surface Connection","SurfaceConn",IF(OFFSET('Coach Card'!$F$17,P18,0)="Hybrid - Thrust + 2 connections","Req.Hybrid",IF(LEFT(OFFSET('Coach Card'!$F$17,P18,0),4)="Hybr","Hybrid",IF(LEFT(OFFSET('Coach Card'!$F$17,P18,0),4)="Acro",IF(RIGHT(OFFSET('Coach Card'!$F$17,P18,0),4)="Pair","Pair Acro","Acrobatic"),IF(LEFT(OFFSET('Coach Card'!$F$17,P18,0),4)="Tech","TRE",""))))))</f>
        <v/>
      </c>
      <c r="C18" s="300" t="str">
        <f ca="1">IF(OFFSET('Coach Card'!$G$17,P18,0)&gt;0,OFFSET('Coach Card'!$G$17,P18,0),"")</f>
        <v/>
      </c>
      <c r="D18" s="301"/>
      <c r="E18" s="129" t="str">
        <f ca="1">IF(OFFSET('Coach Card'!$H$17,P18,0)&gt;0,IF(B18="Transition","",OFFSET('Coach Card'!$H$17,P18,0)),"")</f>
        <v/>
      </c>
      <c r="F18" s="305" t="str">
        <f ca="1">CONCATENATE(OFFSET('Coach Card'!$J$17,P18,0),IF(OFFSET('Coach Card'!$K$17,P18,0)&lt;&gt;"","-",""),OFFSET('Coach Card'!$K$17,P18,0),IF(OFFSET('Coach Card'!$L$17,P18,0)&lt;&gt;"","-",""),OFFSET('Coach Card'!$L$17,P18,0),IF(OFFSET('Coach Card'!$M$17,P18,0)&lt;&gt;"","-",""),OFFSET('Coach Card'!$M$17,P18,0),IF(AND(OFFSET('Coach Card'!$N$17,P18,0)&lt;&gt;"",RIGHT(OFFSET('Coach Card'!$M$17,P18,0),1)&lt;&gt;"+"),IF(LEFT(OFFSET('Coach Card'!$N$17,P18,0),1)="2","/","-"),""),OFFSET('Coach Card'!$N$17,P18,0),IF(OFFSET('Coach Card'!$O$17,P18,0)&lt;&gt;"",IF(LEFT(OFFSET('Coach Card'!$O$17,P18,0),1)="2","/","-"),""),OFFSET('Coach Card'!$O$17,P18,0),IF(OFFSET('Coach Card'!$P$17,P18,0)&lt;&gt;"","-",""),OFFSET('Coach Card'!$P$17,P18,0),IF(OFFSET('Coach Card'!$Q$17,P18,0)&lt;&gt;"","-",""),OFFSET('Coach Card'!$Q$17,P18,0),IF(OFFSET('Coach Card'!$R$17,P18,0)&lt;&gt;"",IF(LEFT(B18,4)="Acro","/","-"),""),OFFSET('Coach Card'!$R$17,P18,0),IF(OFFSET('Coach Card'!$S$17,P18,0)&lt;&gt;"","-",""),OFFSET('Coach Card'!$S$17,P18,0),IF(OFFSET('Coach Card'!$T$17,P18,0)&lt;&gt;"","-",""),OFFSET('Coach Card'!$T$17,P18,0),IF(OFFSET('Coach Card'!$U$17,P18,0)&lt;&gt;"","-",""),OFFSET('Coach Card'!$U$17,P18,0),IF(OFFSET('Coach Card'!$V$17,P18,0)&lt;&gt;"","-",""),OFFSET('Coach Card'!$V$17,P18,0),IF(OFFSET('Coach Card'!$W$17,P18,0)&lt;&gt;"","-",""),OFFSET('Coach Card'!$W$17,P18,0),IF(OFFSET('Coach Card'!$X$17,P18,0)&lt;&gt;"","-",""),OFFSET('Coach Card'!$X$17,P18,0),IF(OFFSET('Coach Card'!$Y$17,P18,0)&lt;&gt;"","-",""),OFFSET('Coach Card'!$Y$17,P18,0),IF(OFFSET('Coach Card'!$Z$17,P18,0)&lt;&gt;"","-",""),OFFSET('Coach Card'!$Z$17,P18,0),IF(OFFSET('Coach Card'!$AA$17,P18,0)&lt;&gt;"","-",""),OFFSET('Coach Card'!$AA$17,P18,0),IF(OFFSET('Coach Card'!$AB$17,P18,0)&lt;&gt;"","-",""),OFFSET('Coach Card'!$AB$17,P18,0),IF(OFFSET('Coach Card'!$AC$17,P18,0)&lt;&gt;"","-",""),OFFSET('Coach Card'!$AC$17,P18,0))</f>
        <v/>
      </c>
      <c r="G18" s="306"/>
      <c r="H18" s="306"/>
      <c r="I18" s="306"/>
      <c r="J18" s="306"/>
      <c r="K18" s="306"/>
      <c r="L18" s="307"/>
      <c r="M18" s="213" t="str">
        <f ca="1">IF(OR(LEFT(B18,4)="Acro",LEFT(B18,1)="T",LEFT(B18,1)=""),"",IF(OFFSET('Coach Card'!$AD$17,P18,0)="","",OFFSET('Coach Card'!$AD$17,P18,0)))</f>
        <v/>
      </c>
      <c r="N18" s="214" t="str">
        <f ca="1">IF(OFFSET('Coach Card'!$AE$18,P18,0)=0,"",OFFSET('Coach Card'!$AE$18,P18,0))</f>
        <v/>
      </c>
      <c r="O18" s="238"/>
      <c r="P18" s="149">
        <v>6</v>
      </c>
    </row>
    <row r="19" spans="1:16" ht="24.9" customHeight="1" x14ac:dyDescent="0.25">
      <c r="A19" s="129" t="str">
        <f>IFERROR(IF('Coach Card'!D25&lt;&gt;"",IF('Coach Card'!C25&lt;&gt;"",CONCATENATE("0",'Coach Card'!A25,":",IF('Coach Card'!B25&lt;10,CONCATENATE("0",'Coach Card'!B25),'Coach Card'!B25)," - 0",'Coach Card'!C25,":",IF('Coach Card'!D25&lt;10,CONCATENATE("0",'Coach Card'!D25),'Coach Card'!D25)),""),""),"")</f>
        <v/>
      </c>
      <c r="B19" s="129" t="str">
        <f ca="1">IF(OFFSET('Coach Card'!$F$17,P19,0)="Transition","Transition",IF(OFFSET('Coach Card'!$F$17,P19,0)="Transition - Surface Connection","SurfaceConn",IF(OFFSET('Coach Card'!$F$17,P19,0)="Hybrid - Thrust + 2 connections","Req.Hybrid",IF(LEFT(OFFSET('Coach Card'!$F$17,P19,0),4)="Hybr","Hybrid",IF(LEFT(OFFSET('Coach Card'!$F$17,P19,0),4)="Acro",IF(RIGHT(OFFSET('Coach Card'!$F$17,P19,0),4)="Pair","Pair Acro","Acrobatic"),IF(LEFT(OFFSET('Coach Card'!$F$17,P19,0),4)="Tech","TRE",""))))))</f>
        <v/>
      </c>
      <c r="C19" s="300" t="str">
        <f ca="1">IF(OFFSET('Coach Card'!$G$17,P19,0)&gt;0,OFFSET('Coach Card'!$G$17,P19,0),"")</f>
        <v/>
      </c>
      <c r="D19" s="301"/>
      <c r="E19" s="129" t="str">
        <f ca="1">IF(OFFSET('Coach Card'!$H$17,P19,0)&gt;0,IF(B19="Transition","",OFFSET('Coach Card'!$H$17,P19,0)),"")</f>
        <v/>
      </c>
      <c r="F19" s="305" t="str">
        <f ca="1">CONCATENATE(OFFSET('Coach Card'!$J$17,P19,0),IF(OFFSET('Coach Card'!$K$17,P19,0)&lt;&gt;"","-",""),OFFSET('Coach Card'!$K$17,P19,0),IF(OFFSET('Coach Card'!$L$17,P19,0)&lt;&gt;"","-",""),OFFSET('Coach Card'!$L$17,P19,0),IF(OFFSET('Coach Card'!$M$17,P19,0)&lt;&gt;"","-",""),OFFSET('Coach Card'!$M$17,P19,0),IF(AND(OFFSET('Coach Card'!$N$17,P19,0)&lt;&gt;"",RIGHT(OFFSET('Coach Card'!$M$17,P19,0),1)&lt;&gt;"+"),IF(LEFT(OFFSET('Coach Card'!$N$17,P19,0),1)="2","/","-"),""),OFFSET('Coach Card'!$N$17,P19,0),IF(OFFSET('Coach Card'!$O$17,P19,0)&lt;&gt;"",IF(LEFT(OFFSET('Coach Card'!$O$17,P19,0),1)="2","/","-"),""),OFFSET('Coach Card'!$O$17,P19,0),IF(OFFSET('Coach Card'!$P$17,P19,0)&lt;&gt;"","-",""),OFFSET('Coach Card'!$P$17,P19,0),IF(OFFSET('Coach Card'!$Q$17,P19,0)&lt;&gt;"","-",""),OFFSET('Coach Card'!$Q$17,P19,0),IF(OFFSET('Coach Card'!$R$17,P19,0)&lt;&gt;"",IF(LEFT(B19,4)="Acro","/","-"),""),OFFSET('Coach Card'!$R$17,P19,0),IF(OFFSET('Coach Card'!$S$17,P19,0)&lt;&gt;"","-",""),OFFSET('Coach Card'!$S$17,P19,0),IF(OFFSET('Coach Card'!$T$17,P19,0)&lt;&gt;"","-",""),OFFSET('Coach Card'!$T$17,P19,0),IF(OFFSET('Coach Card'!$U$17,P19,0)&lt;&gt;"","-",""),OFFSET('Coach Card'!$U$17,P19,0),IF(OFFSET('Coach Card'!$V$17,P19,0)&lt;&gt;"","-",""),OFFSET('Coach Card'!$V$17,P19,0),IF(OFFSET('Coach Card'!$W$17,P19,0)&lt;&gt;"","-",""),OFFSET('Coach Card'!$W$17,P19,0),IF(OFFSET('Coach Card'!$X$17,P19,0)&lt;&gt;"","-",""),OFFSET('Coach Card'!$X$17,P19,0),IF(OFFSET('Coach Card'!$Y$17,P19,0)&lt;&gt;"","-",""),OFFSET('Coach Card'!$Y$17,P19,0),IF(OFFSET('Coach Card'!$Z$17,P19,0)&lt;&gt;"","-",""),OFFSET('Coach Card'!$Z$17,P19,0),IF(OFFSET('Coach Card'!$AA$17,P19,0)&lt;&gt;"","-",""),OFFSET('Coach Card'!$AA$17,P19,0),IF(OFFSET('Coach Card'!$AB$17,P19,0)&lt;&gt;"","-",""),OFFSET('Coach Card'!$AB$17,P19,0),IF(OFFSET('Coach Card'!$AC$17,P19,0)&lt;&gt;"","-",""),OFFSET('Coach Card'!$AC$17,P19,0))</f>
        <v/>
      </c>
      <c r="G19" s="306"/>
      <c r="H19" s="306"/>
      <c r="I19" s="306"/>
      <c r="J19" s="306"/>
      <c r="K19" s="306"/>
      <c r="L19" s="307"/>
      <c r="M19" s="213" t="str">
        <f ca="1">IF(OR(LEFT(B19,4)="Acro",LEFT(B19,1)="T",LEFT(B19,1)=""),"",IF(OFFSET('Coach Card'!$AD$17,P19,0)="","",OFFSET('Coach Card'!$AD$17,P19,0)))</f>
        <v/>
      </c>
      <c r="N19" s="214" t="str">
        <f ca="1">IF(OFFSET('Coach Card'!$AE$18,P19,0)=0,"",OFFSET('Coach Card'!$AE$18,P19,0))</f>
        <v/>
      </c>
      <c r="O19" s="238"/>
      <c r="P19" s="149">
        <v>8</v>
      </c>
    </row>
    <row r="20" spans="1:16" ht="24.9" customHeight="1" x14ac:dyDescent="0.25">
      <c r="A20" s="129" t="str">
        <f>IFERROR(IF('Coach Card'!D27&lt;&gt;"",IF('Coach Card'!C27&lt;&gt;"",CONCATENATE("0",'Coach Card'!A27,":",IF('Coach Card'!B27&lt;10,CONCATENATE("0",'Coach Card'!B27),'Coach Card'!B27)," - 0",'Coach Card'!C27,":",IF('Coach Card'!D27&lt;10,CONCATENATE("0",'Coach Card'!D27),'Coach Card'!D27)),""),""),"")</f>
        <v/>
      </c>
      <c r="B20" s="129" t="str">
        <f ca="1">IF(OFFSET('Coach Card'!$F$17,P20,0)="Transition","Transition",IF(OFFSET('Coach Card'!$F$17,P20,0)="Transition - Surface Connection","SurfaceConn",IF(OFFSET('Coach Card'!$F$17,P20,0)="Hybrid - Thrust + 2 connections","Req.Hybrid",IF(LEFT(OFFSET('Coach Card'!$F$17,P20,0),4)="Hybr","Hybrid",IF(LEFT(OFFSET('Coach Card'!$F$17,P20,0),4)="Acro",IF(RIGHT(OFFSET('Coach Card'!$F$17,P20,0),4)="Pair","Pair Acro","Acrobatic"),IF(LEFT(OFFSET('Coach Card'!$F$17,P20,0),4)="Tech","TRE",""))))))</f>
        <v/>
      </c>
      <c r="C20" s="300" t="str">
        <f ca="1">IF(OFFSET('Coach Card'!$G$17,P20,0)&gt;0,OFFSET('Coach Card'!$G$17,P20,0),"")</f>
        <v/>
      </c>
      <c r="D20" s="301"/>
      <c r="E20" s="129" t="str">
        <f ca="1">IF(OFFSET('Coach Card'!$H$17,P20,0)&gt;0,IF(B20="Transition","",OFFSET('Coach Card'!$H$17,P20,0)),"")</f>
        <v/>
      </c>
      <c r="F20" s="305" t="str">
        <f ca="1">CONCATENATE(OFFSET('Coach Card'!$J$17,P20,0),IF(OFFSET('Coach Card'!$K$17,P20,0)&lt;&gt;"","-",""),OFFSET('Coach Card'!$K$17,P20,0),IF(OFFSET('Coach Card'!$L$17,P20,0)&lt;&gt;"","-",""),OFFSET('Coach Card'!$L$17,P20,0),IF(OFFSET('Coach Card'!$M$17,P20,0)&lt;&gt;"","-",""),OFFSET('Coach Card'!$M$17,P20,0),IF(AND(OFFSET('Coach Card'!$N$17,P20,0)&lt;&gt;"",RIGHT(OFFSET('Coach Card'!$M$17,P20,0),1)&lt;&gt;"+"),IF(LEFT(OFFSET('Coach Card'!$N$17,P20,0),1)="2","/","-"),""),OFFSET('Coach Card'!$N$17,P20,0),IF(OFFSET('Coach Card'!$O$17,P20,0)&lt;&gt;"",IF(LEFT(OFFSET('Coach Card'!$O$17,P20,0),1)="2","/","-"),""),OFFSET('Coach Card'!$O$17,P20,0),IF(OFFSET('Coach Card'!$P$17,P20,0)&lt;&gt;"","-",""),OFFSET('Coach Card'!$P$17,P20,0),IF(OFFSET('Coach Card'!$Q$17,P20,0)&lt;&gt;"","-",""),OFFSET('Coach Card'!$Q$17,P20,0),IF(OFFSET('Coach Card'!$R$17,P20,0)&lt;&gt;"",IF(LEFT(B20,4)="Acro","/","-"),""),OFFSET('Coach Card'!$R$17,P20,0),IF(OFFSET('Coach Card'!$S$17,P20,0)&lt;&gt;"","-",""),OFFSET('Coach Card'!$S$17,P20,0),IF(OFFSET('Coach Card'!$T$17,P20,0)&lt;&gt;"","-",""),OFFSET('Coach Card'!$T$17,P20,0),IF(OFFSET('Coach Card'!$U$17,P20,0)&lt;&gt;"","-",""),OFFSET('Coach Card'!$U$17,P20,0),IF(OFFSET('Coach Card'!$V$17,P20,0)&lt;&gt;"","-",""),OFFSET('Coach Card'!$V$17,P20,0),IF(OFFSET('Coach Card'!$W$17,P20,0)&lt;&gt;"","-",""),OFFSET('Coach Card'!$W$17,P20,0),IF(OFFSET('Coach Card'!$X$17,P20,0)&lt;&gt;"","-",""),OFFSET('Coach Card'!$X$17,P20,0),IF(OFFSET('Coach Card'!$Y$17,P20,0)&lt;&gt;"","-",""),OFFSET('Coach Card'!$Y$17,P20,0),IF(OFFSET('Coach Card'!$Z$17,P20,0)&lt;&gt;"","-",""),OFFSET('Coach Card'!$Z$17,P20,0),IF(OFFSET('Coach Card'!$AA$17,P20,0)&lt;&gt;"","-",""),OFFSET('Coach Card'!$AA$17,P20,0),IF(OFFSET('Coach Card'!$AB$17,P20,0)&lt;&gt;"","-",""),OFFSET('Coach Card'!$AB$17,P20,0),IF(OFFSET('Coach Card'!$AC$17,P20,0)&lt;&gt;"","-",""),OFFSET('Coach Card'!$AC$17,P20,0))</f>
        <v/>
      </c>
      <c r="G20" s="306"/>
      <c r="H20" s="306"/>
      <c r="I20" s="306"/>
      <c r="J20" s="306"/>
      <c r="K20" s="306"/>
      <c r="L20" s="307"/>
      <c r="M20" s="213" t="str">
        <f ca="1">IF(OR(LEFT(B20,4)="Acro",LEFT(B20,1)="T",LEFT(B20,1)=""),"",IF(OFFSET('Coach Card'!$AD$17,P20,0)="","",OFFSET('Coach Card'!$AD$17,P20,0)))</f>
        <v/>
      </c>
      <c r="N20" s="214" t="str">
        <f ca="1">IF(OFFSET('Coach Card'!$AE$18,P20,0)=0,"",OFFSET('Coach Card'!$AE$18,P20,0))</f>
        <v/>
      </c>
      <c r="O20" s="238"/>
      <c r="P20" s="149">
        <v>10</v>
      </c>
    </row>
    <row r="21" spans="1:16" ht="24.9" customHeight="1" x14ac:dyDescent="0.25">
      <c r="A21" s="129" t="str">
        <f>IFERROR(IF('Coach Card'!D29&lt;&gt;"",IF('Coach Card'!C29&lt;&gt;"",CONCATENATE("0",'Coach Card'!A29,":",IF('Coach Card'!B29&lt;10,CONCATENATE("0",'Coach Card'!B29),'Coach Card'!B29)," - 0",'Coach Card'!C29,":",IF('Coach Card'!D29&lt;10,CONCATENATE("0",'Coach Card'!D29),'Coach Card'!D29)),""),""),"")</f>
        <v/>
      </c>
      <c r="B21" s="129" t="str">
        <f ca="1">IF(OFFSET('Coach Card'!$F$17,P21,0)="Transition","Transition",IF(OFFSET('Coach Card'!$F$17,P21,0)="Transition - Surface Connection","SurfaceConn",IF(OFFSET('Coach Card'!$F$17,P21,0)="Hybrid - Thrust + 2 connections","Req.Hybrid",IF(LEFT(OFFSET('Coach Card'!$F$17,P21,0),4)="Hybr","Hybrid",IF(LEFT(OFFSET('Coach Card'!$F$17,P21,0),4)="Acro",IF(RIGHT(OFFSET('Coach Card'!$F$17,P21,0),4)="Pair","Pair Acro","Acrobatic"),IF(LEFT(OFFSET('Coach Card'!$F$17,P21,0),4)="Tech","TRE",""))))))</f>
        <v/>
      </c>
      <c r="C21" s="300" t="str">
        <f ca="1">IF(OFFSET('Coach Card'!$G$17,P21,0)&gt;0,OFFSET('Coach Card'!$G$17,P21,0),"")</f>
        <v/>
      </c>
      <c r="D21" s="301"/>
      <c r="E21" s="129" t="str">
        <f ca="1">IF(OFFSET('Coach Card'!$H$17,P21,0)&gt;0,IF(B21="Transition","",OFFSET('Coach Card'!$H$17,P21,0)),"")</f>
        <v/>
      </c>
      <c r="F21" s="305" t="str">
        <f ca="1">CONCATENATE(OFFSET('Coach Card'!$J$17,P21,0),IF(OFFSET('Coach Card'!$K$17,P21,0)&lt;&gt;"","-",""),OFFSET('Coach Card'!$K$17,P21,0),IF(OFFSET('Coach Card'!$L$17,P21,0)&lt;&gt;"","-",""),OFFSET('Coach Card'!$L$17,P21,0),IF(OFFSET('Coach Card'!$M$17,P21,0)&lt;&gt;"","-",""),OFFSET('Coach Card'!$M$17,P21,0),IF(AND(OFFSET('Coach Card'!$N$17,P21,0)&lt;&gt;"",RIGHT(OFFSET('Coach Card'!$M$17,P21,0),1)&lt;&gt;"+"),IF(LEFT(OFFSET('Coach Card'!$N$17,P21,0),1)="2","/","-"),""),OFFSET('Coach Card'!$N$17,P21,0),IF(OFFSET('Coach Card'!$O$17,P21,0)&lt;&gt;"",IF(LEFT(OFFSET('Coach Card'!$O$17,P21,0),1)="2","/","-"),""),OFFSET('Coach Card'!$O$17,P21,0),IF(OFFSET('Coach Card'!$P$17,P21,0)&lt;&gt;"","-",""),OFFSET('Coach Card'!$P$17,P21,0),IF(OFFSET('Coach Card'!$Q$17,P21,0)&lt;&gt;"","-",""),OFFSET('Coach Card'!$Q$17,P21,0),IF(OFFSET('Coach Card'!$R$17,P21,0)&lt;&gt;"",IF(LEFT(B21,4)="Acro","/","-"),""),OFFSET('Coach Card'!$R$17,P21,0),IF(OFFSET('Coach Card'!$S$17,P21,0)&lt;&gt;"","-",""),OFFSET('Coach Card'!$S$17,P21,0),IF(OFFSET('Coach Card'!$T$17,P21,0)&lt;&gt;"","-",""),OFFSET('Coach Card'!$T$17,P21,0),IF(OFFSET('Coach Card'!$U$17,P21,0)&lt;&gt;"","-",""),OFFSET('Coach Card'!$U$17,P21,0),IF(OFFSET('Coach Card'!$V$17,P21,0)&lt;&gt;"","-",""),OFFSET('Coach Card'!$V$17,P21,0),IF(OFFSET('Coach Card'!$W$17,P21,0)&lt;&gt;"","-",""),OFFSET('Coach Card'!$W$17,P21,0),IF(OFFSET('Coach Card'!$X$17,P21,0)&lt;&gt;"","-",""),OFFSET('Coach Card'!$X$17,P21,0),IF(OFFSET('Coach Card'!$Y$17,P21,0)&lt;&gt;"","-",""),OFFSET('Coach Card'!$Y$17,P21,0),IF(OFFSET('Coach Card'!$Z$17,P21,0)&lt;&gt;"","-",""),OFFSET('Coach Card'!$Z$17,P21,0),IF(OFFSET('Coach Card'!$AA$17,P21,0)&lt;&gt;"","-",""),OFFSET('Coach Card'!$AA$17,P21,0),IF(OFFSET('Coach Card'!$AB$17,P21,0)&lt;&gt;"","-",""),OFFSET('Coach Card'!$AB$17,P21,0),IF(OFFSET('Coach Card'!$AC$17,P21,0)&lt;&gt;"","-",""),OFFSET('Coach Card'!$AC$17,P21,0))</f>
        <v/>
      </c>
      <c r="G21" s="306"/>
      <c r="H21" s="306"/>
      <c r="I21" s="306"/>
      <c r="J21" s="306"/>
      <c r="K21" s="306"/>
      <c r="L21" s="307"/>
      <c r="M21" s="213" t="str">
        <f ca="1">IF(OR(LEFT(B21,4)="Acro",LEFT(B21,1)="T",LEFT(B21,1)=""),"",IF(OFFSET('Coach Card'!$AD$17,P21,0)="","",OFFSET('Coach Card'!$AD$17,P21,0)))</f>
        <v/>
      </c>
      <c r="N21" s="214" t="str">
        <f ca="1">IF(OFFSET('Coach Card'!$AE$18,P21,0)=0,"",OFFSET('Coach Card'!$AE$18,P21,0))</f>
        <v/>
      </c>
      <c r="O21" s="238"/>
      <c r="P21" s="149">
        <v>12</v>
      </c>
    </row>
    <row r="22" spans="1:16" ht="24.9" customHeight="1" x14ac:dyDescent="0.25">
      <c r="A22" s="129" t="str">
        <f>IFERROR(IF('Coach Card'!D31&lt;&gt;"",IF('Coach Card'!C31&lt;&gt;"",CONCATENATE("0",'Coach Card'!A31,":",IF('Coach Card'!B31&lt;10,CONCATENATE("0",'Coach Card'!B31),'Coach Card'!B31)," - 0",'Coach Card'!C31,":",IF('Coach Card'!D31&lt;10,CONCATENATE("0",'Coach Card'!D31),'Coach Card'!D31)),""),""),"")</f>
        <v/>
      </c>
      <c r="B22" s="129" t="str">
        <f ca="1">IF(OFFSET('Coach Card'!$F$17,P22,0)="Transition","Transition",IF(OFFSET('Coach Card'!$F$17,P22,0)="Transition - Surface Connection","SurfaceConn",IF(OFFSET('Coach Card'!$F$17,P22,0)="Hybrid - Thrust + 2 connections","Req.Hybrid",IF(LEFT(OFFSET('Coach Card'!$F$17,P22,0),4)="Hybr","Hybrid",IF(LEFT(OFFSET('Coach Card'!$F$17,P22,0),4)="Acro",IF(RIGHT(OFFSET('Coach Card'!$F$17,P22,0),4)="Pair","Pair Acro","Acrobatic"),IF(LEFT(OFFSET('Coach Card'!$F$17,P22,0),4)="Tech","TRE",""))))))</f>
        <v/>
      </c>
      <c r="C22" s="300" t="str">
        <f ca="1">IF(OFFSET('Coach Card'!$G$17,P22,0)&gt;0,OFFSET('Coach Card'!$G$17,P22,0),"")</f>
        <v/>
      </c>
      <c r="D22" s="301"/>
      <c r="E22" s="129" t="str">
        <f ca="1">IF(OFFSET('Coach Card'!$H$17,P22,0)&gt;0,IF(B22="Transition","",OFFSET('Coach Card'!$H$17,P22,0)),"")</f>
        <v/>
      </c>
      <c r="F22" s="305" t="str">
        <f ca="1">CONCATENATE(OFFSET('Coach Card'!$J$17,P22,0),IF(OFFSET('Coach Card'!$K$17,P22,0)&lt;&gt;"","-",""),OFFSET('Coach Card'!$K$17,P22,0),IF(OFFSET('Coach Card'!$L$17,P22,0)&lt;&gt;"","-",""),OFFSET('Coach Card'!$L$17,P22,0),IF(OFFSET('Coach Card'!$M$17,P22,0)&lt;&gt;"","-",""),OFFSET('Coach Card'!$M$17,P22,0),IF(AND(OFFSET('Coach Card'!$N$17,P22,0)&lt;&gt;"",RIGHT(OFFSET('Coach Card'!$M$17,P22,0),1)&lt;&gt;"+"),IF(LEFT(OFFSET('Coach Card'!$N$17,P22,0),1)="2","/","-"),""),OFFSET('Coach Card'!$N$17,P22,0),IF(OFFSET('Coach Card'!$O$17,P22,0)&lt;&gt;"",IF(LEFT(OFFSET('Coach Card'!$O$17,P22,0),1)="2","/","-"),""),OFFSET('Coach Card'!$O$17,P22,0),IF(OFFSET('Coach Card'!$P$17,P22,0)&lt;&gt;"","-",""),OFFSET('Coach Card'!$P$17,P22,0),IF(OFFSET('Coach Card'!$Q$17,P22,0)&lt;&gt;"","-",""),OFFSET('Coach Card'!$Q$17,P22,0),IF(OFFSET('Coach Card'!$R$17,P22,0)&lt;&gt;"",IF(LEFT(B22,4)="Acro","/","-"),""),OFFSET('Coach Card'!$R$17,P22,0),IF(OFFSET('Coach Card'!$S$17,P22,0)&lt;&gt;"","-",""),OFFSET('Coach Card'!$S$17,P22,0),IF(OFFSET('Coach Card'!$T$17,P22,0)&lt;&gt;"","-",""),OFFSET('Coach Card'!$T$17,P22,0),IF(OFFSET('Coach Card'!$U$17,P22,0)&lt;&gt;"","-",""),OFFSET('Coach Card'!$U$17,P22,0),IF(OFFSET('Coach Card'!$V$17,P22,0)&lt;&gt;"","-",""),OFFSET('Coach Card'!$V$17,P22,0),IF(OFFSET('Coach Card'!$W$17,P22,0)&lt;&gt;"","-",""),OFFSET('Coach Card'!$W$17,P22,0),IF(OFFSET('Coach Card'!$X$17,P22,0)&lt;&gt;"","-",""),OFFSET('Coach Card'!$X$17,P22,0),IF(OFFSET('Coach Card'!$Y$17,P22,0)&lt;&gt;"","-",""),OFFSET('Coach Card'!$Y$17,P22,0),IF(OFFSET('Coach Card'!$Z$17,P22,0)&lt;&gt;"","-",""),OFFSET('Coach Card'!$Z$17,P22,0),IF(OFFSET('Coach Card'!$AA$17,P22,0)&lt;&gt;"","-",""),OFFSET('Coach Card'!$AA$17,P22,0),IF(OFFSET('Coach Card'!$AB$17,P22,0)&lt;&gt;"","-",""),OFFSET('Coach Card'!$AB$17,P22,0),IF(OFFSET('Coach Card'!$AC$17,P22,0)&lt;&gt;"","-",""),OFFSET('Coach Card'!$AC$17,P22,0))</f>
        <v/>
      </c>
      <c r="G22" s="306"/>
      <c r="H22" s="306"/>
      <c r="I22" s="306"/>
      <c r="J22" s="306"/>
      <c r="K22" s="306"/>
      <c r="L22" s="307"/>
      <c r="M22" s="213" t="str">
        <f ca="1">IF(OR(LEFT(B22,4)="Acro",LEFT(B22,1)="T",LEFT(B22,1)=""),"",IF(OFFSET('Coach Card'!$AD$17,P22,0)="","",OFFSET('Coach Card'!$AD$17,P22,0)))</f>
        <v/>
      </c>
      <c r="N22" s="214" t="str">
        <f ca="1">IF(OFFSET('Coach Card'!$AE$18,P22,0)=0,"",OFFSET('Coach Card'!$AE$18,P22,0))</f>
        <v/>
      </c>
      <c r="O22" s="238"/>
      <c r="P22" s="149">
        <v>14</v>
      </c>
    </row>
    <row r="23" spans="1:16" ht="24.9" customHeight="1" x14ac:dyDescent="0.25">
      <c r="A23" s="129" t="str">
        <f>IFERROR(IF('Coach Card'!D33&lt;&gt;"",IF('Coach Card'!C33&lt;&gt;"",CONCATENATE("0",'Coach Card'!A33,":",IF('Coach Card'!B33&lt;10,CONCATENATE("0",'Coach Card'!B33),'Coach Card'!B33)," - 0",'Coach Card'!C33,":",IF('Coach Card'!D33&lt;10,CONCATENATE("0",'Coach Card'!D33),'Coach Card'!D33)),""),""),"")</f>
        <v/>
      </c>
      <c r="B23" s="129" t="str">
        <f ca="1">IF(OFFSET('Coach Card'!$F$17,P23,0)="Transition","Transition",IF(OFFSET('Coach Card'!$F$17,P23,0)="Transition - Surface Connection","SurfaceConn",IF(OFFSET('Coach Card'!$F$17,P23,0)="Hybrid - Thrust + 2 connections","Req.Hybrid",IF(LEFT(OFFSET('Coach Card'!$F$17,P23,0),4)="Hybr","Hybrid",IF(LEFT(OFFSET('Coach Card'!$F$17,P23,0),4)="Acro",IF(RIGHT(OFFSET('Coach Card'!$F$17,P23,0),4)="Pair","Pair Acro","Acrobatic"),IF(LEFT(OFFSET('Coach Card'!$F$17,P23,0),4)="Tech","TRE",""))))))</f>
        <v/>
      </c>
      <c r="C23" s="300" t="str">
        <f ca="1">IF(OFFSET('Coach Card'!$G$17,P23,0)&gt;0,OFFSET('Coach Card'!$G$17,P23,0),"")</f>
        <v/>
      </c>
      <c r="D23" s="301"/>
      <c r="E23" s="129" t="str">
        <f ca="1">IF(OFFSET('Coach Card'!$H$17,P23,0)&gt;0,IF(B23="Transition","",OFFSET('Coach Card'!$H$17,P23,0)),"")</f>
        <v/>
      </c>
      <c r="F23" s="305" t="str">
        <f ca="1">CONCATENATE(OFFSET('Coach Card'!$J$17,P23,0),IF(OFFSET('Coach Card'!$K$17,P23,0)&lt;&gt;"","-",""),OFFSET('Coach Card'!$K$17,P23,0),IF(OFFSET('Coach Card'!$L$17,P23,0)&lt;&gt;"","-",""),OFFSET('Coach Card'!$L$17,P23,0),IF(OFFSET('Coach Card'!$M$17,P23,0)&lt;&gt;"","-",""),OFFSET('Coach Card'!$M$17,P23,0),IF(AND(OFFSET('Coach Card'!$N$17,P23,0)&lt;&gt;"",RIGHT(OFFSET('Coach Card'!$M$17,P23,0),1)&lt;&gt;"+"),IF(LEFT(OFFSET('Coach Card'!$N$17,P23,0),1)="2","/","-"),""),OFFSET('Coach Card'!$N$17,P23,0),IF(OFFSET('Coach Card'!$O$17,P23,0)&lt;&gt;"",IF(LEFT(OFFSET('Coach Card'!$O$17,P23,0),1)="2","/","-"),""),OFFSET('Coach Card'!$O$17,P23,0),IF(OFFSET('Coach Card'!$P$17,P23,0)&lt;&gt;"","-",""),OFFSET('Coach Card'!$P$17,P23,0),IF(OFFSET('Coach Card'!$Q$17,P23,0)&lt;&gt;"","-",""),OFFSET('Coach Card'!$Q$17,P23,0),IF(OFFSET('Coach Card'!$R$17,P23,0)&lt;&gt;"",IF(LEFT(B23,4)="Acro","/","-"),""),OFFSET('Coach Card'!$R$17,P23,0),IF(OFFSET('Coach Card'!$S$17,P23,0)&lt;&gt;"","-",""),OFFSET('Coach Card'!$S$17,P23,0),IF(OFFSET('Coach Card'!$T$17,P23,0)&lt;&gt;"","-",""),OFFSET('Coach Card'!$T$17,P23,0),IF(OFFSET('Coach Card'!$U$17,P23,0)&lt;&gt;"","-",""),OFFSET('Coach Card'!$U$17,P23,0),IF(OFFSET('Coach Card'!$V$17,P23,0)&lt;&gt;"","-",""),OFFSET('Coach Card'!$V$17,P23,0),IF(OFFSET('Coach Card'!$W$17,P23,0)&lt;&gt;"","-",""),OFFSET('Coach Card'!$W$17,P23,0),IF(OFFSET('Coach Card'!$X$17,P23,0)&lt;&gt;"","-",""),OFFSET('Coach Card'!$X$17,P23,0),IF(OFFSET('Coach Card'!$Y$17,P23,0)&lt;&gt;"","-",""),OFFSET('Coach Card'!$Y$17,P23,0),IF(OFFSET('Coach Card'!$Z$17,P23,0)&lt;&gt;"","-",""),OFFSET('Coach Card'!$Z$17,P23,0),IF(OFFSET('Coach Card'!$AA$17,P23,0)&lt;&gt;"","-",""),OFFSET('Coach Card'!$AA$17,P23,0),IF(OFFSET('Coach Card'!$AB$17,P23,0)&lt;&gt;"","-",""),OFFSET('Coach Card'!$AB$17,P23,0),IF(OFFSET('Coach Card'!$AC$17,P23,0)&lt;&gt;"","-",""),OFFSET('Coach Card'!$AC$17,P23,0))</f>
        <v/>
      </c>
      <c r="G23" s="306"/>
      <c r="H23" s="306"/>
      <c r="I23" s="306"/>
      <c r="J23" s="306"/>
      <c r="K23" s="306"/>
      <c r="L23" s="307"/>
      <c r="M23" s="213" t="str">
        <f ca="1">IF(OR(LEFT(B23,4)="Acro",LEFT(B23,1)="T",LEFT(B23,1)=""),"",IF(OFFSET('Coach Card'!$AD$17,P23,0)="","",OFFSET('Coach Card'!$AD$17,P23,0)))</f>
        <v/>
      </c>
      <c r="N23" s="214" t="str">
        <f ca="1">IF(OFFSET('Coach Card'!$AE$18,P23,0)=0,"",OFFSET('Coach Card'!$AE$18,P23,0))</f>
        <v/>
      </c>
      <c r="O23" s="238"/>
      <c r="P23" s="149">
        <v>16</v>
      </c>
    </row>
    <row r="24" spans="1:16" ht="24.9" customHeight="1" x14ac:dyDescent="0.25">
      <c r="A24" s="129" t="str">
        <f>IFERROR(IF('Coach Card'!D35&lt;&gt;"",IF('Coach Card'!C35&lt;&gt;"",CONCATENATE("0",'Coach Card'!A35,":",IF('Coach Card'!B35&lt;10,CONCATENATE("0",'Coach Card'!B35),'Coach Card'!B35)," - 0",'Coach Card'!C35,":",IF('Coach Card'!D35&lt;10,CONCATENATE("0",'Coach Card'!D35),'Coach Card'!D35)),""),""),"")</f>
        <v/>
      </c>
      <c r="B24" s="129" t="str">
        <f ca="1">IF(OFFSET('Coach Card'!$F$17,P24,0)="Transition","Transition",IF(OFFSET('Coach Card'!$F$17,P24,0)="Transition - Surface Connection","SurfaceConn",IF(OFFSET('Coach Card'!$F$17,P24,0)="Hybrid - Thrust + 2 connections","Req.Hybrid",IF(LEFT(OFFSET('Coach Card'!$F$17,P24,0),4)="Hybr","Hybrid",IF(LEFT(OFFSET('Coach Card'!$F$17,P24,0),4)="Acro",IF(RIGHT(OFFSET('Coach Card'!$F$17,P24,0),4)="Pair","Pair Acro","Acrobatic"),IF(LEFT(OFFSET('Coach Card'!$F$17,P24,0),4)="Tech","TRE",""))))))</f>
        <v/>
      </c>
      <c r="C24" s="300" t="str">
        <f ca="1">IF(OFFSET('Coach Card'!$G$17,P24,0)&gt;0,OFFSET('Coach Card'!$G$17,P24,0),"")</f>
        <v/>
      </c>
      <c r="D24" s="301"/>
      <c r="E24" s="129" t="str">
        <f ca="1">IF(OFFSET('Coach Card'!$H$17,P24,0)&gt;0,IF(B24="Transition","",OFFSET('Coach Card'!$H$17,P24,0)),"")</f>
        <v/>
      </c>
      <c r="F24" s="305" t="str">
        <f ca="1">CONCATENATE(OFFSET('Coach Card'!$J$17,P24,0),IF(OFFSET('Coach Card'!$K$17,P24,0)&lt;&gt;"","-",""),OFFSET('Coach Card'!$K$17,P24,0),IF(OFFSET('Coach Card'!$L$17,P24,0)&lt;&gt;"","-",""),OFFSET('Coach Card'!$L$17,P24,0),IF(OFFSET('Coach Card'!$M$17,P24,0)&lt;&gt;"","-",""),OFFSET('Coach Card'!$M$17,P24,0),IF(AND(OFFSET('Coach Card'!$N$17,P24,0)&lt;&gt;"",RIGHT(OFFSET('Coach Card'!$M$17,P24,0),1)&lt;&gt;"+"),IF(LEFT(OFFSET('Coach Card'!$N$17,P24,0),1)="2","/","-"),""),OFFSET('Coach Card'!$N$17,P24,0),IF(OFFSET('Coach Card'!$O$17,P24,0)&lt;&gt;"",IF(LEFT(OFFSET('Coach Card'!$O$17,P24,0),1)="2","/","-"),""),OFFSET('Coach Card'!$O$17,P24,0),IF(OFFSET('Coach Card'!$P$17,P24,0)&lt;&gt;"","-",""),OFFSET('Coach Card'!$P$17,P24,0),IF(OFFSET('Coach Card'!$Q$17,P24,0)&lt;&gt;"","-",""),OFFSET('Coach Card'!$Q$17,P24,0),IF(OFFSET('Coach Card'!$R$17,P24,0)&lt;&gt;"",IF(LEFT(B24,4)="Acro","/","-"),""),OFFSET('Coach Card'!$R$17,P24,0),IF(OFFSET('Coach Card'!$S$17,P24,0)&lt;&gt;"","-",""),OFFSET('Coach Card'!$S$17,P24,0),IF(OFFSET('Coach Card'!$T$17,P24,0)&lt;&gt;"","-",""),OFFSET('Coach Card'!$T$17,P24,0),IF(OFFSET('Coach Card'!$U$17,P24,0)&lt;&gt;"","-",""),OFFSET('Coach Card'!$U$17,P24,0),IF(OFFSET('Coach Card'!$V$17,P24,0)&lt;&gt;"","-",""),OFFSET('Coach Card'!$V$17,P24,0),IF(OFFSET('Coach Card'!$W$17,P24,0)&lt;&gt;"","-",""),OFFSET('Coach Card'!$W$17,P24,0),IF(OFFSET('Coach Card'!$X$17,P24,0)&lt;&gt;"","-",""),OFFSET('Coach Card'!$X$17,P24,0),IF(OFFSET('Coach Card'!$Y$17,P24,0)&lt;&gt;"","-",""),OFFSET('Coach Card'!$Y$17,P24,0),IF(OFFSET('Coach Card'!$Z$17,P24,0)&lt;&gt;"","-",""),OFFSET('Coach Card'!$Z$17,P24,0),IF(OFFSET('Coach Card'!$AA$17,P24,0)&lt;&gt;"","-",""),OFFSET('Coach Card'!$AA$17,P24,0),IF(OFFSET('Coach Card'!$AB$17,P24,0)&lt;&gt;"","-",""),OFFSET('Coach Card'!$AB$17,P24,0),IF(OFFSET('Coach Card'!$AC$17,P24,0)&lt;&gt;"","-",""),OFFSET('Coach Card'!$AC$17,P24,0))</f>
        <v/>
      </c>
      <c r="G24" s="306"/>
      <c r="H24" s="306"/>
      <c r="I24" s="306"/>
      <c r="J24" s="306"/>
      <c r="K24" s="306"/>
      <c r="L24" s="307"/>
      <c r="M24" s="213" t="str">
        <f ca="1">IF(OR(LEFT(B24,4)="Acro",LEFT(B24,1)="T",LEFT(B24,1)=""),"",IF(OFFSET('Coach Card'!$AD$17,P24,0)="","",OFFSET('Coach Card'!$AD$17,P24,0)))</f>
        <v/>
      </c>
      <c r="N24" s="214" t="str">
        <f ca="1">IF(OFFSET('Coach Card'!$AE$18,P24,0)=0,"",OFFSET('Coach Card'!$AE$18,P24,0))</f>
        <v/>
      </c>
      <c r="O24" s="238"/>
      <c r="P24" s="149">
        <v>18</v>
      </c>
    </row>
    <row r="25" spans="1:16" ht="24.9" customHeight="1" x14ac:dyDescent="0.25">
      <c r="A25" s="129" t="str">
        <f>IFERROR(IF('Coach Card'!D37&lt;&gt;"",IF('Coach Card'!C37&lt;&gt;"",CONCATENATE("0",'Coach Card'!A37,":",IF('Coach Card'!B37&lt;10,CONCATENATE("0",'Coach Card'!B37),'Coach Card'!B37)," - 0",'Coach Card'!C37,":",IF('Coach Card'!D37&lt;10,CONCATENATE("0",'Coach Card'!D37),'Coach Card'!D37)),""),""),"")</f>
        <v/>
      </c>
      <c r="B25" s="129" t="str">
        <f ca="1">IF(OFFSET('Coach Card'!$F$17,P25,0)="Transition","Transition",IF(OFFSET('Coach Card'!$F$17,P25,0)="Transition - Surface Connection","SurfaceConn",IF(OFFSET('Coach Card'!$F$17,P25,0)="Hybrid - Thrust + 2 connections","Req.Hybrid",IF(LEFT(OFFSET('Coach Card'!$F$17,P25,0),4)="Hybr","Hybrid",IF(LEFT(OFFSET('Coach Card'!$F$17,P25,0),4)="Acro",IF(RIGHT(OFFSET('Coach Card'!$F$17,P25,0),4)="Pair","Pair Acro","Acrobatic"),IF(LEFT(OFFSET('Coach Card'!$F$17,P25,0),4)="Tech","TRE",""))))))</f>
        <v/>
      </c>
      <c r="C25" s="300" t="str">
        <f ca="1">IF(OFFSET('Coach Card'!$G$17,P25,0)&gt;0,OFFSET('Coach Card'!$G$17,P25,0),"")</f>
        <v/>
      </c>
      <c r="D25" s="301"/>
      <c r="E25" s="129" t="str">
        <f ca="1">IF(OFFSET('Coach Card'!$H$17,P25,0)&gt;0,IF(B25="Transition","",OFFSET('Coach Card'!$H$17,P25,0)),"")</f>
        <v/>
      </c>
      <c r="F25" s="305" t="str">
        <f ca="1">CONCATENATE(OFFSET('Coach Card'!$J$17,P25,0),IF(OFFSET('Coach Card'!$K$17,P25,0)&lt;&gt;"","-",""),OFFSET('Coach Card'!$K$17,P25,0),IF(OFFSET('Coach Card'!$L$17,P25,0)&lt;&gt;"","-",""),OFFSET('Coach Card'!$L$17,P25,0),IF(OFFSET('Coach Card'!$M$17,P25,0)&lt;&gt;"","-",""),OFFSET('Coach Card'!$M$17,P25,0),IF(AND(OFFSET('Coach Card'!$N$17,P25,0)&lt;&gt;"",RIGHT(OFFSET('Coach Card'!$M$17,P25,0),1)&lt;&gt;"+"),IF(LEFT(OFFSET('Coach Card'!$N$17,P25,0),1)="2","/","-"),""),OFFSET('Coach Card'!$N$17,P25,0),IF(OFFSET('Coach Card'!$O$17,P25,0)&lt;&gt;"",IF(LEFT(OFFSET('Coach Card'!$O$17,P25,0),1)="2","/","-"),""),OFFSET('Coach Card'!$O$17,P25,0),IF(OFFSET('Coach Card'!$P$17,P25,0)&lt;&gt;"","-",""),OFFSET('Coach Card'!$P$17,P25,0),IF(OFFSET('Coach Card'!$Q$17,P25,0)&lt;&gt;"","-",""),OFFSET('Coach Card'!$Q$17,P25,0),IF(OFFSET('Coach Card'!$R$17,P25,0)&lt;&gt;"",IF(LEFT(B25,4)="Acro","/","-"),""),OFFSET('Coach Card'!$R$17,P25,0),IF(OFFSET('Coach Card'!$S$17,P25,0)&lt;&gt;"","-",""),OFFSET('Coach Card'!$S$17,P25,0),IF(OFFSET('Coach Card'!$T$17,P25,0)&lt;&gt;"","-",""),OFFSET('Coach Card'!$T$17,P25,0),IF(OFFSET('Coach Card'!$U$17,P25,0)&lt;&gt;"","-",""),OFFSET('Coach Card'!$U$17,P25,0),IF(OFFSET('Coach Card'!$V$17,P25,0)&lt;&gt;"","-",""),OFFSET('Coach Card'!$V$17,P25,0),IF(OFFSET('Coach Card'!$W$17,P25,0)&lt;&gt;"","-",""),OFFSET('Coach Card'!$W$17,P25,0),IF(OFFSET('Coach Card'!$X$17,P25,0)&lt;&gt;"","-",""),OFFSET('Coach Card'!$X$17,P25,0),IF(OFFSET('Coach Card'!$Y$17,P25,0)&lt;&gt;"","-",""),OFFSET('Coach Card'!$Y$17,P25,0),IF(OFFSET('Coach Card'!$Z$17,P25,0)&lt;&gt;"","-",""),OFFSET('Coach Card'!$Z$17,P25,0),IF(OFFSET('Coach Card'!$AA$17,P25,0)&lt;&gt;"","-",""),OFFSET('Coach Card'!$AA$17,P25,0),IF(OFFSET('Coach Card'!$AB$17,P25,0)&lt;&gt;"","-",""),OFFSET('Coach Card'!$AB$17,P25,0),IF(OFFSET('Coach Card'!$AC$17,P25,0)&lt;&gt;"","-",""),OFFSET('Coach Card'!$AC$17,P25,0))</f>
        <v/>
      </c>
      <c r="G25" s="306"/>
      <c r="H25" s="306"/>
      <c r="I25" s="306"/>
      <c r="J25" s="306"/>
      <c r="K25" s="306"/>
      <c r="L25" s="307"/>
      <c r="M25" s="213" t="str">
        <f ca="1">IF(OR(LEFT(B25,4)="Acro",LEFT(B25,1)="T",LEFT(B25,1)=""),"",IF(OFFSET('Coach Card'!$AD$17,P25,0)="","",OFFSET('Coach Card'!$AD$17,P25,0)))</f>
        <v/>
      </c>
      <c r="N25" s="214" t="str">
        <f ca="1">IF(OFFSET('Coach Card'!$AE$18,P25,0)=0,"",OFFSET('Coach Card'!$AE$18,P25,0))</f>
        <v/>
      </c>
      <c r="O25" s="238"/>
      <c r="P25" s="149">
        <v>20</v>
      </c>
    </row>
    <row r="26" spans="1:16" ht="24.9" customHeight="1" x14ac:dyDescent="0.3">
      <c r="A26" s="129" t="str">
        <f>IFERROR(IF('Coach Card'!D39&lt;&gt;"",IF('Coach Card'!C39&lt;&gt;"",CONCATENATE("0",'Coach Card'!A39,":",IF('Coach Card'!B39&lt;10,CONCATENATE("0",'Coach Card'!B39),'Coach Card'!B39)," - 0",'Coach Card'!C39,":",IF('Coach Card'!D39&lt;10,CONCATENATE("0",'Coach Card'!D39),'Coach Card'!D39)),""),""),"")</f>
        <v/>
      </c>
      <c r="B26" s="129" t="str">
        <f ca="1">IF(OFFSET('Coach Card'!$F$17,P26,0)="Transition","Transition",IF(OFFSET('Coach Card'!$F$17,P26,0)="Transition - Surface Connection","SurfaceConn",IF(OFFSET('Coach Card'!$F$17,P26,0)="Hybrid - Thrust + 2 connections","Req.Hybrid",IF(LEFT(OFFSET('Coach Card'!$F$17,P26,0),4)="Hybr","Hybrid",IF(LEFT(OFFSET('Coach Card'!$F$17,P26,0),4)="Acro",IF(RIGHT(OFFSET('Coach Card'!$F$17,P26,0),4)="Pair","Pair Acro","Acrobatic"),IF(LEFT(OFFSET('Coach Card'!$F$17,P26,0),4)="Tech","TRE",""))))))</f>
        <v/>
      </c>
      <c r="C26" s="300" t="str">
        <f ca="1">IF(OFFSET('Coach Card'!$G$17,P26,0)&gt;0,OFFSET('Coach Card'!$G$17,P26,0),"")</f>
        <v/>
      </c>
      <c r="D26" s="301"/>
      <c r="E26" s="129" t="str">
        <f ca="1">IF(OFFSET('Coach Card'!$H$17,P26,0)&gt;0,IF(B26="Transition","",OFFSET('Coach Card'!$H$17,P26,0)),"")</f>
        <v/>
      </c>
      <c r="F26" s="305" t="str">
        <f ca="1">CONCATENATE(OFFSET('Coach Card'!$J$17,P26,0),IF(OFFSET('Coach Card'!$K$17,P26,0)&lt;&gt;"","-",""),OFFSET('Coach Card'!$K$17,P26,0),IF(OFFSET('Coach Card'!$L$17,P26,0)&lt;&gt;"","-",""),OFFSET('Coach Card'!$L$17,P26,0),IF(OFFSET('Coach Card'!$M$17,P26,0)&lt;&gt;"","-",""),OFFSET('Coach Card'!$M$17,P26,0),IF(AND(OFFSET('Coach Card'!$N$17,P26,0)&lt;&gt;"",RIGHT(OFFSET('Coach Card'!$M$17,P26,0),1)&lt;&gt;"+"),IF(LEFT(OFFSET('Coach Card'!$N$17,P26,0),1)="2","/","-"),""),OFFSET('Coach Card'!$N$17,P26,0),IF(OFFSET('Coach Card'!$O$17,P26,0)&lt;&gt;"",IF(LEFT(OFFSET('Coach Card'!$O$17,P26,0),1)="2","/","-"),""),OFFSET('Coach Card'!$O$17,P26,0),IF(OFFSET('Coach Card'!$P$17,P26,0)&lt;&gt;"","-",""),OFFSET('Coach Card'!$P$17,P26,0),IF(OFFSET('Coach Card'!$Q$17,P26,0)&lt;&gt;"","-",""),OFFSET('Coach Card'!$Q$17,P26,0),IF(OFFSET('Coach Card'!$R$17,P26,0)&lt;&gt;"",IF(LEFT(B26,4)="Acro","/","-"),""),OFFSET('Coach Card'!$R$17,P26,0),IF(OFFSET('Coach Card'!$S$17,P26,0)&lt;&gt;"","-",""),OFFSET('Coach Card'!$S$17,P26,0),IF(OFFSET('Coach Card'!$T$17,P26,0)&lt;&gt;"","-",""),OFFSET('Coach Card'!$T$17,P26,0),IF(OFFSET('Coach Card'!$U$17,P26,0)&lt;&gt;"","-",""),OFFSET('Coach Card'!$U$17,P26,0),IF(OFFSET('Coach Card'!$V$17,P26,0)&lt;&gt;"","-",""),OFFSET('Coach Card'!$V$17,P26,0),IF(OFFSET('Coach Card'!$W$17,P26,0)&lt;&gt;"","-",""),OFFSET('Coach Card'!$W$17,P26,0),IF(OFFSET('Coach Card'!$X$17,P26,0)&lt;&gt;"","-",""),OFFSET('Coach Card'!$X$17,P26,0),IF(OFFSET('Coach Card'!$Y$17,P26,0)&lt;&gt;"","-",""),OFFSET('Coach Card'!$Y$17,P26,0),IF(OFFSET('Coach Card'!$Z$17,P26,0)&lt;&gt;"","-",""),OFFSET('Coach Card'!$Z$17,P26,0),IF(OFFSET('Coach Card'!$AA$17,P26,0)&lt;&gt;"","-",""),OFFSET('Coach Card'!$AA$17,P26,0),IF(OFFSET('Coach Card'!$AB$17,P26,0)&lt;&gt;"","-",""),OFFSET('Coach Card'!$AB$17,P26,0),IF(OFFSET('Coach Card'!$AC$17,P26,0)&lt;&gt;"","-",""),OFFSET('Coach Card'!$AC$17,P26,0))</f>
        <v/>
      </c>
      <c r="G26" s="306"/>
      <c r="H26" s="306"/>
      <c r="I26" s="306"/>
      <c r="J26" s="306"/>
      <c r="K26" s="306"/>
      <c r="L26" s="307"/>
      <c r="M26" s="213" t="str">
        <f ca="1">IF(OR(LEFT(B26,4)="Acro",LEFT(B26,1)="T",LEFT(B26,1)=""),"",IF(OFFSET('Coach Card'!$AD$17,P26,0)="","",OFFSET('Coach Card'!$AD$17,P26,0)))</f>
        <v/>
      </c>
      <c r="N26" s="214" t="str">
        <f ca="1">IF(OFFSET('Coach Card'!$AE$18,P26,0)=0,"",OFFSET('Coach Card'!$AE$18,P26,0))</f>
        <v/>
      </c>
      <c r="O26" s="238"/>
      <c r="P26" s="149">
        <v>22</v>
      </c>
    </row>
    <row r="27" spans="1:16" ht="24.9" customHeight="1" x14ac:dyDescent="0.3">
      <c r="A27" s="129" t="str">
        <f>IFERROR(IF('Coach Card'!D41&lt;&gt;"",IF('Coach Card'!C41&lt;&gt;"",CONCATENATE("0",'Coach Card'!A41,":",IF('Coach Card'!B41&lt;10,CONCATENATE("0",'Coach Card'!B41),'Coach Card'!B41)," - 0",'Coach Card'!C41,":",IF('Coach Card'!D41&lt;10,CONCATENATE("0",'Coach Card'!D41),'Coach Card'!D41)),""),""),"")</f>
        <v/>
      </c>
      <c r="B27" s="129" t="str">
        <f ca="1">IF(OFFSET('Coach Card'!$F$17,P27,0)="Transition","Transition",IF(OFFSET('Coach Card'!$F$17,P27,0)="Transition - Surface Connection","SurfaceConn",IF(OFFSET('Coach Card'!$F$17,P27,0)="Hybrid - Thrust + 2 connections","Req.Hybrid",IF(LEFT(OFFSET('Coach Card'!$F$17,P27,0),4)="Hybr","Hybrid",IF(LEFT(OFFSET('Coach Card'!$F$17,P27,0),4)="Acro",IF(RIGHT(OFFSET('Coach Card'!$F$17,P27,0),4)="Pair","Pair Acro","Acrobatic"),IF(LEFT(OFFSET('Coach Card'!$F$17,P27,0),4)="Tech","TRE",""))))))</f>
        <v/>
      </c>
      <c r="C27" s="300" t="str">
        <f ca="1">IF(OFFSET('Coach Card'!$G$17,P27,0)&gt;0,OFFSET('Coach Card'!$G$17,P27,0),"")</f>
        <v/>
      </c>
      <c r="D27" s="301"/>
      <c r="E27" s="129" t="str">
        <f ca="1">IF(OFFSET('Coach Card'!$H$17,P27,0)&gt;0,IF(B27="Transition","",OFFSET('Coach Card'!$H$17,P27,0)),"")</f>
        <v/>
      </c>
      <c r="F27" s="305" t="str">
        <f ca="1">CONCATENATE(OFFSET('Coach Card'!$J$17,P27,0),IF(OFFSET('Coach Card'!$K$17,P27,0)&lt;&gt;"","-",""),OFFSET('Coach Card'!$K$17,P27,0),IF(OFFSET('Coach Card'!$L$17,P27,0)&lt;&gt;"","-",""),OFFSET('Coach Card'!$L$17,P27,0),IF(OFFSET('Coach Card'!$M$17,P27,0)&lt;&gt;"","-",""),OFFSET('Coach Card'!$M$17,P27,0),IF(AND(OFFSET('Coach Card'!$N$17,P27,0)&lt;&gt;"",RIGHT(OFFSET('Coach Card'!$M$17,P27,0),1)&lt;&gt;"+"),IF(LEFT(OFFSET('Coach Card'!$N$17,P27,0),1)="2","/","-"),""),OFFSET('Coach Card'!$N$17,P27,0),IF(OFFSET('Coach Card'!$O$17,P27,0)&lt;&gt;"",IF(LEFT(OFFSET('Coach Card'!$O$17,P27,0),1)="2","/","-"),""),OFFSET('Coach Card'!$O$17,P27,0),IF(OFFSET('Coach Card'!$P$17,P27,0)&lt;&gt;"","-",""),OFFSET('Coach Card'!$P$17,P27,0),IF(OFFSET('Coach Card'!$Q$17,P27,0)&lt;&gt;"","-",""),OFFSET('Coach Card'!$Q$17,P27,0),IF(OFFSET('Coach Card'!$R$17,P27,0)&lt;&gt;"",IF(LEFT(B27,4)="Acro","/","-"),""),OFFSET('Coach Card'!$R$17,P27,0),IF(OFFSET('Coach Card'!$S$17,P27,0)&lt;&gt;"","-",""),OFFSET('Coach Card'!$S$17,P27,0),IF(OFFSET('Coach Card'!$T$17,P27,0)&lt;&gt;"","-",""),OFFSET('Coach Card'!$T$17,P27,0),IF(OFFSET('Coach Card'!$U$17,P27,0)&lt;&gt;"","-",""),OFFSET('Coach Card'!$U$17,P27,0),IF(OFFSET('Coach Card'!$V$17,P27,0)&lt;&gt;"","-",""),OFFSET('Coach Card'!$V$17,P27,0),IF(OFFSET('Coach Card'!$W$17,P27,0)&lt;&gt;"","-",""),OFFSET('Coach Card'!$W$17,P27,0),IF(OFFSET('Coach Card'!$X$17,P27,0)&lt;&gt;"","-",""),OFFSET('Coach Card'!$X$17,P27,0),IF(OFFSET('Coach Card'!$Y$17,P27,0)&lt;&gt;"","-",""),OFFSET('Coach Card'!$Y$17,P27,0),IF(OFFSET('Coach Card'!$Z$17,P27,0)&lt;&gt;"","-",""),OFFSET('Coach Card'!$Z$17,P27,0),IF(OFFSET('Coach Card'!$AA$17,P27,0)&lt;&gt;"","-",""),OFFSET('Coach Card'!$AA$17,P27,0),IF(OFFSET('Coach Card'!$AB$17,P27,0)&lt;&gt;"","-",""),OFFSET('Coach Card'!$AB$17,P27,0),IF(OFFSET('Coach Card'!$AC$17,P27,0)&lt;&gt;"","-",""),OFFSET('Coach Card'!$AC$17,P27,0))</f>
        <v/>
      </c>
      <c r="G27" s="306"/>
      <c r="H27" s="306"/>
      <c r="I27" s="306"/>
      <c r="J27" s="306"/>
      <c r="K27" s="306"/>
      <c r="L27" s="307"/>
      <c r="M27" s="213" t="str">
        <f ca="1">IF(OR(LEFT(B27,4)="Acro",LEFT(B27,1)="T",LEFT(B27,1)=""),"",IF(OFFSET('Coach Card'!$AD$17,P27,0)="","",OFFSET('Coach Card'!$AD$17,P27,0)))</f>
        <v/>
      </c>
      <c r="N27" s="214" t="str">
        <f ca="1">IF(OFFSET('Coach Card'!$AE$18,P27,0)=0,"",OFFSET('Coach Card'!$AE$18,P27,0))</f>
        <v/>
      </c>
      <c r="O27" s="238"/>
      <c r="P27" s="149">
        <v>24</v>
      </c>
    </row>
    <row r="28" spans="1:16" ht="24.9" customHeight="1" x14ac:dyDescent="0.3">
      <c r="A28" s="129" t="str">
        <f>IFERROR(IF('Coach Card'!D43&lt;&gt;"",IF('Coach Card'!C43&lt;&gt;"",CONCATENATE("0",'Coach Card'!A43,":",IF('Coach Card'!B43&lt;10,CONCATENATE("0",'Coach Card'!B43),'Coach Card'!B43)," - 0",'Coach Card'!C43,":",IF('Coach Card'!D43&lt;10,CONCATENATE("0",'Coach Card'!D43),'Coach Card'!D43)),""),""),"")</f>
        <v/>
      </c>
      <c r="B28" s="129" t="str">
        <f ca="1">IF(OFFSET('Coach Card'!$F$17,P28,0)="Transition","Transition",IF(OFFSET('Coach Card'!$F$17,P28,0)="Transition - Surface Connection","SurfaceConn",IF(OFFSET('Coach Card'!$F$17,P28,0)="Hybrid - Thrust + 2 connections","Req.Hybrid",IF(LEFT(OFFSET('Coach Card'!$F$17,P28,0),4)="Hybr","Hybrid",IF(LEFT(OFFSET('Coach Card'!$F$17,P28,0),4)="Acro",IF(RIGHT(OFFSET('Coach Card'!$F$17,P28,0),4)="Pair","Pair Acro","Acrobatic"),IF(LEFT(OFFSET('Coach Card'!$F$17,P28,0),4)="Tech","TRE",""))))))</f>
        <v/>
      </c>
      <c r="C28" s="300" t="str">
        <f ca="1">IF(OFFSET('Coach Card'!$G$17,P28,0)&gt;0,OFFSET('Coach Card'!$G$17,P28,0),"")</f>
        <v/>
      </c>
      <c r="D28" s="301"/>
      <c r="E28" s="129" t="str">
        <f ca="1">IF(OFFSET('Coach Card'!$H$17,P28,0)&gt;0,IF(B28="Transition","",OFFSET('Coach Card'!$H$17,P28,0)),"")</f>
        <v/>
      </c>
      <c r="F28" s="305" t="str">
        <f ca="1">CONCATENATE(OFFSET('Coach Card'!$J$17,P28,0),IF(OFFSET('Coach Card'!$K$17,P28,0)&lt;&gt;"","-",""),OFFSET('Coach Card'!$K$17,P28,0),IF(OFFSET('Coach Card'!$L$17,P28,0)&lt;&gt;"","-",""),OFFSET('Coach Card'!$L$17,P28,0),IF(OFFSET('Coach Card'!$M$17,P28,0)&lt;&gt;"","-",""),OFFSET('Coach Card'!$M$17,P28,0),IF(AND(OFFSET('Coach Card'!$N$17,P28,0)&lt;&gt;"",RIGHT(OFFSET('Coach Card'!$M$17,P28,0),1)&lt;&gt;"+"),IF(LEFT(OFFSET('Coach Card'!$N$17,P28,0),1)="2","/","-"),""),OFFSET('Coach Card'!$N$17,P28,0),IF(OFFSET('Coach Card'!$O$17,P28,0)&lt;&gt;"",IF(LEFT(OFFSET('Coach Card'!$O$17,P28,0),1)="2","/","-"),""),OFFSET('Coach Card'!$O$17,P28,0),IF(OFFSET('Coach Card'!$P$17,P28,0)&lt;&gt;"","-",""),OFFSET('Coach Card'!$P$17,P28,0),IF(OFFSET('Coach Card'!$Q$17,P28,0)&lt;&gt;"","-",""),OFFSET('Coach Card'!$Q$17,P28,0),IF(OFFSET('Coach Card'!$R$17,P28,0)&lt;&gt;"",IF(LEFT(B28,4)="Acro","/","-"),""),OFFSET('Coach Card'!$R$17,P28,0),IF(OFFSET('Coach Card'!$S$17,P28,0)&lt;&gt;"","-",""),OFFSET('Coach Card'!$S$17,P28,0),IF(OFFSET('Coach Card'!$T$17,P28,0)&lt;&gt;"","-",""),OFFSET('Coach Card'!$T$17,P28,0),IF(OFFSET('Coach Card'!$U$17,P28,0)&lt;&gt;"","-",""),OFFSET('Coach Card'!$U$17,P28,0),IF(OFFSET('Coach Card'!$V$17,P28,0)&lt;&gt;"","-",""),OFFSET('Coach Card'!$V$17,P28,0),IF(OFFSET('Coach Card'!$W$17,P28,0)&lt;&gt;"","-",""),OFFSET('Coach Card'!$W$17,P28,0),IF(OFFSET('Coach Card'!$X$17,P28,0)&lt;&gt;"","-",""),OFFSET('Coach Card'!$X$17,P28,0),IF(OFFSET('Coach Card'!$Y$17,P28,0)&lt;&gt;"","-",""),OFFSET('Coach Card'!$Y$17,P28,0),IF(OFFSET('Coach Card'!$Z$17,P28,0)&lt;&gt;"","-",""),OFFSET('Coach Card'!$Z$17,P28,0),IF(OFFSET('Coach Card'!$AA$17,P28,0)&lt;&gt;"","-",""),OFFSET('Coach Card'!$AA$17,P28,0),IF(OFFSET('Coach Card'!$AB$17,P28,0)&lt;&gt;"","-",""),OFFSET('Coach Card'!$AB$17,P28,0),IF(OFFSET('Coach Card'!$AC$17,P28,0)&lt;&gt;"","-",""),OFFSET('Coach Card'!$AC$17,P28,0))</f>
        <v/>
      </c>
      <c r="G28" s="306"/>
      <c r="H28" s="306"/>
      <c r="I28" s="306"/>
      <c r="J28" s="306"/>
      <c r="K28" s="306"/>
      <c r="L28" s="307"/>
      <c r="M28" s="213" t="str">
        <f ca="1">IF(OR(LEFT(B28,4)="Acro",LEFT(B28,1)="T",LEFT(B28,1)=""),"",IF(OFFSET('Coach Card'!$AD$17,P28,0)="","",OFFSET('Coach Card'!$AD$17,P28,0)))</f>
        <v/>
      </c>
      <c r="N28" s="214" t="str">
        <f ca="1">IF(OFFSET('Coach Card'!$AE$18,P28,0)=0,"",OFFSET('Coach Card'!$AE$18,P28,0))</f>
        <v/>
      </c>
      <c r="O28" s="238"/>
      <c r="P28" s="149">
        <v>26</v>
      </c>
    </row>
    <row r="29" spans="1:16" ht="24.9" customHeight="1" x14ac:dyDescent="0.3">
      <c r="A29" s="129" t="str">
        <f>IFERROR(IF('Coach Card'!D45&lt;&gt;"",IF('Coach Card'!C45&lt;&gt;"",CONCATENATE("0",'Coach Card'!A45,":",IF('Coach Card'!B45&lt;10,CONCATENATE("0",'Coach Card'!B45),'Coach Card'!B45)," - 0",'Coach Card'!C45,":",IF('Coach Card'!D45&lt;10,CONCATENATE("0",'Coach Card'!D45),'Coach Card'!D45)),""),""),"")</f>
        <v/>
      </c>
      <c r="B29" s="129" t="str">
        <f ca="1">IF(OFFSET('Coach Card'!$F$17,P29,0)="Transition","Transition",IF(OFFSET('Coach Card'!$F$17,P29,0)="Transition - Surface Connection","SurfaceConn",IF(OFFSET('Coach Card'!$F$17,P29,0)="Hybrid - Thrust + 2 connections","Req.Hybrid",IF(LEFT(OFFSET('Coach Card'!$F$17,P29,0),4)="Hybr","Hybrid",IF(LEFT(OFFSET('Coach Card'!$F$17,P29,0),4)="Acro",IF(RIGHT(OFFSET('Coach Card'!$F$17,P29,0),4)="Pair","Pair Acro","Acrobatic"),IF(LEFT(OFFSET('Coach Card'!$F$17,P29,0),4)="Tech","TRE",""))))))</f>
        <v/>
      </c>
      <c r="C29" s="300" t="str">
        <f ca="1">IF(OFFSET('Coach Card'!$G$17,P29,0)&gt;0,OFFSET('Coach Card'!$G$17,P29,0),"")</f>
        <v/>
      </c>
      <c r="D29" s="301"/>
      <c r="E29" s="129" t="str">
        <f ca="1">IF(OFFSET('Coach Card'!$H$17,P29,0)&gt;0,IF(B29="Transition","",OFFSET('Coach Card'!$H$17,P29,0)),"")</f>
        <v/>
      </c>
      <c r="F29" s="305" t="str">
        <f ca="1">CONCATENATE(OFFSET('Coach Card'!$J$17,P29,0),IF(OFFSET('Coach Card'!$K$17,P29,0)&lt;&gt;"","-",""),OFFSET('Coach Card'!$K$17,P29,0),IF(OFFSET('Coach Card'!$L$17,P29,0)&lt;&gt;"","-",""),OFFSET('Coach Card'!$L$17,P29,0),IF(OFFSET('Coach Card'!$M$17,P29,0)&lt;&gt;"","-",""),OFFSET('Coach Card'!$M$17,P29,0),IF(AND(OFFSET('Coach Card'!$N$17,P29,0)&lt;&gt;"",RIGHT(OFFSET('Coach Card'!$M$17,P29,0),1)&lt;&gt;"+"),IF(LEFT(OFFSET('Coach Card'!$N$17,P29,0),1)="2","/","-"),""),OFFSET('Coach Card'!$N$17,P29,0),IF(OFFSET('Coach Card'!$O$17,P29,0)&lt;&gt;"",IF(LEFT(OFFSET('Coach Card'!$O$17,P29,0),1)="2","/","-"),""),OFFSET('Coach Card'!$O$17,P29,0),IF(OFFSET('Coach Card'!$P$17,P29,0)&lt;&gt;"","-",""),OFFSET('Coach Card'!$P$17,P29,0),IF(OFFSET('Coach Card'!$Q$17,P29,0)&lt;&gt;"","-",""),OFFSET('Coach Card'!$Q$17,P29,0),IF(OFFSET('Coach Card'!$R$17,P29,0)&lt;&gt;"",IF(LEFT(B29,4)="Acro","/","-"),""),OFFSET('Coach Card'!$R$17,P29,0),IF(OFFSET('Coach Card'!$S$17,P29,0)&lt;&gt;"","-",""),OFFSET('Coach Card'!$S$17,P29,0),IF(OFFSET('Coach Card'!$T$17,P29,0)&lt;&gt;"","-",""),OFFSET('Coach Card'!$T$17,P29,0),IF(OFFSET('Coach Card'!$U$17,P29,0)&lt;&gt;"","-",""),OFFSET('Coach Card'!$U$17,P29,0),IF(OFFSET('Coach Card'!$V$17,P29,0)&lt;&gt;"","-",""),OFFSET('Coach Card'!$V$17,P29,0),IF(OFFSET('Coach Card'!$W$17,P29,0)&lt;&gt;"","-",""),OFFSET('Coach Card'!$W$17,P29,0),IF(OFFSET('Coach Card'!$X$17,P29,0)&lt;&gt;"","-",""),OFFSET('Coach Card'!$X$17,P29,0),IF(OFFSET('Coach Card'!$Y$17,P29,0)&lt;&gt;"","-",""),OFFSET('Coach Card'!$Y$17,P29,0),IF(OFFSET('Coach Card'!$Z$17,P29,0)&lt;&gt;"","-",""),OFFSET('Coach Card'!$Z$17,P29,0),IF(OFFSET('Coach Card'!$AA$17,P29,0)&lt;&gt;"","-",""),OFFSET('Coach Card'!$AA$17,P29,0),IF(OFFSET('Coach Card'!$AB$17,P29,0)&lt;&gt;"","-",""),OFFSET('Coach Card'!$AB$17,P29,0),IF(OFFSET('Coach Card'!$AC$17,P29,0)&lt;&gt;"","-",""),OFFSET('Coach Card'!$AC$17,P29,0))</f>
        <v/>
      </c>
      <c r="G29" s="306"/>
      <c r="H29" s="306"/>
      <c r="I29" s="306"/>
      <c r="J29" s="306"/>
      <c r="K29" s="306"/>
      <c r="L29" s="307"/>
      <c r="M29" s="213" t="str">
        <f ca="1">IF(OR(LEFT(B29,4)="Acro",LEFT(B29,1)="T",LEFT(B29,1)=""),"",IF(OFFSET('Coach Card'!$AD$17,P29,0)="","",OFFSET('Coach Card'!$AD$17,P29,0)))</f>
        <v/>
      </c>
      <c r="N29" s="214" t="str">
        <f ca="1">IF(OFFSET('Coach Card'!$AE$18,P29,0)=0,"",OFFSET('Coach Card'!$AE$18,P29,0))</f>
        <v/>
      </c>
      <c r="O29" s="238"/>
      <c r="P29" s="149">
        <v>28</v>
      </c>
    </row>
    <row r="30" spans="1:16" ht="24.9" customHeight="1" x14ac:dyDescent="0.3">
      <c r="A30" s="129" t="str">
        <f>IFERROR(IF('Coach Card'!D47&lt;&gt;"",IF('Coach Card'!C47&lt;&gt;"",CONCATENATE("0",'Coach Card'!A47,":",IF('Coach Card'!B47&lt;10,CONCATENATE("0",'Coach Card'!B47),'Coach Card'!B47)," - 0",'Coach Card'!C47,":",IF('Coach Card'!D47&lt;10,CONCATENATE("0",'Coach Card'!D47),'Coach Card'!D47)),""),""),"")</f>
        <v/>
      </c>
      <c r="B30" s="129" t="str">
        <f ca="1">IF(OFFSET('Coach Card'!$F$17,P30,0)="Transition","Transition",IF(OFFSET('Coach Card'!$F$17,P30,0)="Transition - Surface Connection","SurfaceConn",IF(OFFSET('Coach Card'!$F$17,P30,0)="Hybrid - Thrust + 2 connections","Req.Hybrid",IF(LEFT(OFFSET('Coach Card'!$F$17,P30,0),4)="Hybr","Hybrid",IF(LEFT(OFFSET('Coach Card'!$F$17,P30,0),4)="Acro",IF(RIGHT(OFFSET('Coach Card'!$F$17,P30,0),4)="Pair","Pair Acro","Acrobatic"),IF(LEFT(OFFSET('Coach Card'!$F$17,P30,0),4)="Tech","TRE",""))))))</f>
        <v/>
      </c>
      <c r="C30" s="300" t="str">
        <f ca="1">IF(OFFSET('Coach Card'!$G$17,P30,0)&gt;0,OFFSET('Coach Card'!$G$17,P30,0),"")</f>
        <v/>
      </c>
      <c r="D30" s="301"/>
      <c r="E30" s="129" t="str">
        <f ca="1">IF(OFFSET('Coach Card'!$H$17,P30,0)&gt;0,IF(B30="Transition","",OFFSET('Coach Card'!$H$17,P30,0)),"")</f>
        <v/>
      </c>
      <c r="F30" s="305" t="str">
        <f ca="1">CONCATENATE(OFFSET('Coach Card'!$J$17,P30,0),IF(OFFSET('Coach Card'!$K$17,P30,0)&lt;&gt;"","-",""),OFFSET('Coach Card'!$K$17,P30,0),IF(OFFSET('Coach Card'!$L$17,P30,0)&lt;&gt;"","-",""),OFFSET('Coach Card'!$L$17,P30,0),IF(OFFSET('Coach Card'!$M$17,P30,0)&lt;&gt;"","-",""),OFFSET('Coach Card'!$M$17,P30,0),IF(AND(OFFSET('Coach Card'!$N$17,P30,0)&lt;&gt;"",RIGHT(OFFSET('Coach Card'!$M$17,P30,0),1)&lt;&gt;"+"),IF(LEFT(OFFSET('Coach Card'!$N$17,P30,0),1)="2","/","-"),""),OFFSET('Coach Card'!$N$17,P30,0),IF(OFFSET('Coach Card'!$O$17,P30,0)&lt;&gt;"",IF(LEFT(OFFSET('Coach Card'!$O$17,P30,0),1)="2","/","-"),""),OFFSET('Coach Card'!$O$17,P30,0),IF(OFFSET('Coach Card'!$P$17,P30,0)&lt;&gt;"","-",""),OFFSET('Coach Card'!$P$17,P30,0),IF(OFFSET('Coach Card'!$Q$17,P30,0)&lt;&gt;"","-",""),OFFSET('Coach Card'!$Q$17,P30,0),IF(OFFSET('Coach Card'!$R$17,P30,0)&lt;&gt;"",IF(LEFT(B30,4)="Acro","/","-"),""),OFFSET('Coach Card'!$R$17,P30,0),IF(OFFSET('Coach Card'!$S$17,P30,0)&lt;&gt;"","-",""),OFFSET('Coach Card'!$S$17,P30,0),IF(OFFSET('Coach Card'!$T$17,P30,0)&lt;&gt;"","-",""),OFFSET('Coach Card'!$T$17,P30,0),IF(OFFSET('Coach Card'!$U$17,P30,0)&lt;&gt;"","-",""),OFFSET('Coach Card'!$U$17,P30,0),IF(OFFSET('Coach Card'!$V$17,P30,0)&lt;&gt;"","-",""),OFFSET('Coach Card'!$V$17,P30,0),IF(OFFSET('Coach Card'!$W$17,P30,0)&lt;&gt;"","-",""),OFFSET('Coach Card'!$W$17,P30,0),IF(OFFSET('Coach Card'!$X$17,P30,0)&lt;&gt;"","-",""),OFFSET('Coach Card'!$X$17,P30,0),IF(OFFSET('Coach Card'!$Y$17,P30,0)&lt;&gt;"","-",""),OFFSET('Coach Card'!$Y$17,P30,0),IF(OFFSET('Coach Card'!$Z$17,P30,0)&lt;&gt;"","-",""),OFFSET('Coach Card'!$Z$17,P30,0),IF(OFFSET('Coach Card'!$AA$17,P30,0)&lt;&gt;"","-",""),OFFSET('Coach Card'!$AA$17,P30,0),IF(OFFSET('Coach Card'!$AB$17,P30,0)&lt;&gt;"","-",""),OFFSET('Coach Card'!$AB$17,P30,0),IF(OFFSET('Coach Card'!$AC$17,P30,0)&lt;&gt;"","-",""),OFFSET('Coach Card'!$AC$17,P30,0))</f>
        <v/>
      </c>
      <c r="G30" s="306"/>
      <c r="H30" s="306"/>
      <c r="I30" s="306"/>
      <c r="J30" s="306"/>
      <c r="K30" s="306"/>
      <c r="L30" s="307"/>
      <c r="M30" s="213" t="str">
        <f ca="1">IF(OR(LEFT(B30,4)="Acro",LEFT(B30,1)="T",LEFT(B30,1)=""),"",IF(OFFSET('Coach Card'!$AD$17,P30,0)="","",OFFSET('Coach Card'!$AD$17,P30,0)))</f>
        <v/>
      </c>
      <c r="N30" s="214" t="str">
        <f ca="1">IF(OFFSET('Coach Card'!$AE$18,P30,0)=0,"",OFFSET('Coach Card'!$AE$18,P30,0))</f>
        <v/>
      </c>
      <c r="O30" s="238"/>
      <c r="P30" s="149">
        <v>30</v>
      </c>
    </row>
    <row r="31" spans="1:16" ht="24.9" customHeight="1" x14ac:dyDescent="0.3">
      <c r="A31" s="129" t="str">
        <f>IFERROR(IF('Coach Card'!D49&lt;&gt;"",IF('Coach Card'!C49&lt;&gt;"",CONCATENATE("0",'Coach Card'!A49,":",IF('Coach Card'!B49&lt;10,CONCATENATE("0",'Coach Card'!B49),'Coach Card'!B49)," - 0",'Coach Card'!C49,":",IF('Coach Card'!D49&lt;10,CONCATENATE("0",'Coach Card'!D49),'Coach Card'!D49)),""),""),"")</f>
        <v/>
      </c>
      <c r="B31" s="129" t="str">
        <f ca="1">IF(OFFSET('Coach Card'!$F$17,P31,0)="Transition","Transition",IF(OFFSET('Coach Card'!$F$17,P31,0)="Transition - Surface Connection","SurfaceConn",IF(OFFSET('Coach Card'!$F$17,P31,0)="Hybrid - Thrust + 2 connections","Req.Hybrid",IF(LEFT(OFFSET('Coach Card'!$F$17,P31,0),4)="Hybr","Hybrid",IF(LEFT(OFFSET('Coach Card'!$F$17,P31,0),4)="Acro",IF(RIGHT(OFFSET('Coach Card'!$F$17,P31,0),4)="Pair","Pair Acro","Acrobatic"),IF(LEFT(OFFSET('Coach Card'!$F$17,P31,0),4)="Tech","TRE",""))))))</f>
        <v/>
      </c>
      <c r="C31" s="300" t="str">
        <f ca="1">IF(OFFSET('Coach Card'!$G$17,P31,0)&gt;0,OFFSET('Coach Card'!$G$17,P31,0),"")</f>
        <v/>
      </c>
      <c r="D31" s="301"/>
      <c r="E31" s="129" t="str">
        <f ca="1">IF(OFFSET('Coach Card'!$H$17,P31,0)&gt;0,IF(B31="Transition","",OFFSET('Coach Card'!$H$17,P31,0)),"")</f>
        <v/>
      </c>
      <c r="F31" s="305" t="str">
        <f ca="1">CONCATENATE(OFFSET('Coach Card'!$J$17,P31,0),IF(OFFSET('Coach Card'!$K$17,P31,0)&lt;&gt;"","-",""),OFFSET('Coach Card'!$K$17,P31,0),IF(OFFSET('Coach Card'!$L$17,P31,0)&lt;&gt;"","-",""),OFFSET('Coach Card'!$L$17,P31,0),IF(OFFSET('Coach Card'!$M$17,P31,0)&lt;&gt;"","-",""),OFFSET('Coach Card'!$M$17,P31,0),IF(AND(OFFSET('Coach Card'!$N$17,P31,0)&lt;&gt;"",RIGHT(OFFSET('Coach Card'!$M$17,P31,0),1)&lt;&gt;"+"),IF(LEFT(OFFSET('Coach Card'!$N$17,P31,0),1)="2","/","-"),""),OFFSET('Coach Card'!$N$17,P31,0),IF(OFFSET('Coach Card'!$O$17,P31,0)&lt;&gt;"",IF(LEFT(OFFSET('Coach Card'!$O$17,P31,0),1)="2","/","-"),""),OFFSET('Coach Card'!$O$17,P31,0),IF(OFFSET('Coach Card'!$P$17,P31,0)&lt;&gt;"","-",""),OFFSET('Coach Card'!$P$17,P31,0),IF(OFFSET('Coach Card'!$Q$17,P31,0)&lt;&gt;"","-",""),OFFSET('Coach Card'!$Q$17,P31,0),IF(OFFSET('Coach Card'!$R$17,P31,0)&lt;&gt;"",IF(LEFT(B31,4)="Acro","/","-"),""),OFFSET('Coach Card'!$R$17,P31,0),IF(OFFSET('Coach Card'!$S$17,P31,0)&lt;&gt;"","-",""),OFFSET('Coach Card'!$S$17,P31,0),IF(OFFSET('Coach Card'!$T$17,P31,0)&lt;&gt;"","-",""),OFFSET('Coach Card'!$T$17,P31,0),IF(OFFSET('Coach Card'!$U$17,P31,0)&lt;&gt;"","-",""),OFFSET('Coach Card'!$U$17,P31,0),IF(OFFSET('Coach Card'!$V$17,P31,0)&lt;&gt;"","-",""),OFFSET('Coach Card'!$V$17,P31,0),IF(OFFSET('Coach Card'!$W$17,P31,0)&lt;&gt;"","-",""),OFFSET('Coach Card'!$W$17,P31,0),IF(OFFSET('Coach Card'!$X$17,P31,0)&lt;&gt;"","-",""),OFFSET('Coach Card'!$X$17,P31,0),IF(OFFSET('Coach Card'!$Y$17,P31,0)&lt;&gt;"","-",""),OFFSET('Coach Card'!$Y$17,P31,0),IF(OFFSET('Coach Card'!$Z$17,P31,0)&lt;&gt;"","-",""),OFFSET('Coach Card'!$Z$17,P31,0),IF(OFFSET('Coach Card'!$AA$17,P31,0)&lt;&gt;"","-",""),OFFSET('Coach Card'!$AA$17,P31,0),IF(OFFSET('Coach Card'!$AB$17,P31,0)&lt;&gt;"","-",""),OFFSET('Coach Card'!$AB$17,P31,0),IF(OFFSET('Coach Card'!$AC$17,P31,0)&lt;&gt;"","-",""),OFFSET('Coach Card'!$AC$17,P31,0))</f>
        <v/>
      </c>
      <c r="G31" s="306"/>
      <c r="H31" s="306"/>
      <c r="I31" s="306"/>
      <c r="J31" s="306"/>
      <c r="K31" s="306"/>
      <c r="L31" s="307"/>
      <c r="M31" s="213" t="str">
        <f ca="1">IF(OR(LEFT(B31,4)="Acro",LEFT(B31,1)="T",LEFT(B31,1)=""),"",IF(OFFSET('Coach Card'!$AD$17,P31,0)="","",OFFSET('Coach Card'!$AD$17,P31,0)))</f>
        <v/>
      </c>
      <c r="N31" s="214" t="str">
        <f ca="1">IF(OFFSET('Coach Card'!$AE$18,P31,0)=0,"",OFFSET('Coach Card'!$AE$18,P31,0))</f>
        <v/>
      </c>
      <c r="O31" s="238"/>
      <c r="P31" s="149">
        <v>32</v>
      </c>
    </row>
    <row r="32" spans="1:16" ht="24.9" customHeight="1" x14ac:dyDescent="0.3">
      <c r="A32" s="129" t="str">
        <f>IFERROR(IF('Coach Card'!D51&lt;&gt;"",IF('Coach Card'!C51&lt;&gt;"",CONCATENATE("0",'Coach Card'!A51,":",IF('Coach Card'!B51&lt;10,CONCATENATE("0",'Coach Card'!B51),'Coach Card'!B51)," - 0",'Coach Card'!C51,":",IF('Coach Card'!D51&lt;10,CONCATENATE("0",'Coach Card'!D51),'Coach Card'!D51)),""),""),"")</f>
        <v/>
      </c>
      <c r="B32" s="129" t="str">
        <f ca="1">IF(OFFSET('Coach Card'!$F$17,P32,0)="Transition","Transition",IF(OFFSET('Coach Card'!$F$17,P32,0)="Transition - Surface Connection","SurfaceConn",IF(OFFSET('Coach Card'!$F$17,P32,0)="Hybrid - Thrust + 2 connections","Req.Hybrid",IF(LEFT(OFFSET('Coach Card'!$F$17,P32,0),4)="Hybr","Hybrid",IF(LEFT(OFFSET('Coach Card'!$F$17,P32,0),4)="Acro",IF(RIGHT(OFFSET('Coach Card'!$F$17,P32,0),4)="Pair","Pair Acro","Acrobatic"),IF(LEFT(OFFSET('Coach Card'!$F$17,P32,0),4)="Tech","TRE",""))))))</f>
        <v/>
      </c>
      <c r="C32" s="300" t="str">
        <f ca="1">IF(OFFSET('Coach Card'!$G$17,P32,0)&gt;0,OFFSET('Coach Card'!$G$17,P32,0),"")</f>
        <v/>
      </c>
      <c r="D32" s="301"/>
      <c r="E32" s="129" t="str">
        <f ca="1">IF(OFFSET('Coach Card'!$H$17,P32,0)&gt;0,IF(B32="Transition","",OFFSET('Coach Card'!$H$17,P32,0)),"")</f>
        <v/>
      </c>
      <c r="F32" s="305" t="str">
        <f ca="1">CONCATENATE(OFFSET('Coach Card'!$J$17,P32,0),IF(OFFSET('Coach Card'!$K$17,P32,0)&lt;&gt;"","-",""),OFFSET('Coach Card'!$K$17,P32,0),IF(OFFSET('Coach Card'!$L$17,P32,0)&lt;&gt;"","-",""),OFFSET('Coach Card'!$L$17,P32,0),IF(OFFSET('Coach Card'!$M$17,P32,0)&lt;&gt;"","-",""),OFFSET('Coach Card'!$M$17,P32,0),IF(AND(OFFSET('Coach Card'!$N$17,P32,0)&lt;&gt;"",RIGHT(OFFSET('Coach Card'!$M$17,P32,0),1)&lt;&gt;"+"),IF(LEFT(OFFSET('Coach Card'!$N$17,P32,0),1)="2","/","-"),""),OFFSET('Coach Card'!$N$17,P32,0),IF(OFFSET('Coach Card'!$O$17,P32,0)&lt;&gt;"",IF(LEFT(OFFSET('Coach Card'!$O$17,P32,0),1)="2","/","-"),""),OFFSET('Coach Card'!$O$17,P32,0),IF(OFFSET('Coach Card'!$P$17,P32,0)&lt;&gt;"","-",""),OFFSET('Coach Card'!$P$17,P32,0),IF(OFFSET('Coach Card'!$Q$17,P32,0)&lt;&gt;"","-",""),OFFSET('Coach Card'!$Q$17,P32,0),IF(OFFSET('Coach Card'!$R$17,P32,0)&lt;&gt;"",IF(LEFT(B32,4)="Acro","/","-"),""),OFFSET('Coach Card'!$R$17,P32,0),IF(OFFSET('Coach Card'!$S$17,P32,0)&lt;&gt;"","-",""),OFFSET('Coach Card'!$S$17,P32,0),IF(OFFSET('Coach Card'!$T$17,P32,0)&lt;&gt;"","-",""),OFFSET('Coach Card'!$T$17,P32,0),IF(OFFSET('Coach Card'!$U$17,P32,0)&lt;&gt;"","-",""),OFFSET('Coach Card'!$U$17,P32,0),IF(OFFSET('Coach Card'!$V$17,P32,0)&lt;&gt;"","-",""),OFFSET('Coach Card'!$V$17,P32,0),IF(OFFSET('Coach Card'!$W$17,P32,0)&lt;&gt;"","-",""),OFFSET('Coach Card'!$W$17,P32,0),IF(OFFSET('Coach Card'!$X$17,P32,0)&lt;&gt;"","-",""),OFFSET('Coach Card'!$X$17,P32,0),IF(OFFSET('Coach Card'!$Y$17,P32,0)&lt;&gt;"","-",""),OFFSET('Coach Card'!$Y$17,P32,0),IF(OFFSET('Coach Card'!$Z$17,P32,0)&lt;&gt;"","-",""),OFFSET('Coach Card'!$Z$17,P32,0),IF(OFFSET('Coach Card'!$AA$17,P32,0)&lt;&gt;"","-",""),OFFSET('Coach Card'!$AA$17,P32,0),IF(OFFSET('Coach Card'!$AB$17,P32,0)&lt;&gt;"","-",""),OFFSET('Coach Card'!$AB$17,P32,0),IF(OFFSET('Coach Card'!$AC$17,P32,0)&lt;&gt;"","-",""),OFFSET('Coach Card'!$AC$17,P32,0))</f>
        <v/>
      </c>
      <c r="G32" s="306"/>
      <c r="H32" s="306"/>
      <c r="I32" s="306"/>
      <c r="J32" s="306"/>
      <c r="K32" s="306"/>
      <c r="L32" s="307"/>
      <c r="M32" s="213" t="str">
        <f ca="1">IF(OR(LEFT(B32,4)="Acro",LEFT(B32,1)="T",LEFT(B32,1)=""),"",IF(OFFSET('Coach Card'!$AD$17,P32,0)="","",OFFSET('Coach Card'!$AD$17,P32,0)))</f>
        <v/>
      </c>
      <c r="N32" s="214" t="str">
        <f ca="1">IF(OFFSET('Coach Card'!$AE$18,P32,0)=0,"",OFFSET('Coach Card'!$AE$18,P32,0))</f>
        <v/>
      </c>
      <c r="O32" s="238"/>
      <c r="P32" s="149">
        <v>34</v>
      </c>
    </row>
    <row r="33" spans="1:16" ht="24.9" customHeight="1" x14ac:dyDescent="0.3">
      <c r="A33" s="129" t="str">
        <f>IFERROR(IF('Coach Card'!D53&lt;&gt;"",IF('Coach Card'!C53&lt;&gt;"",CONCATENATE("0",'Coach Card'!A53,":",IF('Coach Card'!B53&lt;10,CONCATENATE("0",'Coach Card'!B53),'Coach Card'!B53)," - 0",'Coach Card'!C53,":",IF('Coach Card'!D53&lt;10,CONCATENATE("0",'Coach Card'!D53),'Coach Card'!D53)),""),""),"")</f>
        <v/>
      </c>
      <c r="B33" s="129" t="str">
        <f ca="1">IF(OFFSET('Coach Card'!$F$17,P33,0)="Transition","Transition",IF(OFFSET('Coach Card'!$F$17,P33,0)="Transition - Surface Connection","SurfaceConn",IF(OFFSET('Coach Card'!$F$17,P33,0)="Hybrid - Thrust + 2 connections","Req.Hybrid",IF(LEFT(OFFSET('Coach Card'!$F$17,P33,0),4)="Hybr","Hybrid",IF(LEFT(OFFSET('Coach Card'!$F$17,P33,0),4)="Acro",IF(RIGHT(OFFSET('Coach Card'!$F$17,P33,0),4)="Pair","Pair Acro","Acrobatic"),IF(LEFT(OFFSET('Coach Card'!$F$17,P33,0),4)="Tech","TRE",""))))))</f>
        <v/>
      </c>
      <c r="C33" s="300" t="str">
        <f ca="1">IF(OFFSET('Coach Card'!$G$17,P33,0)&gt;0,OFFSET('Coach Card'!$G$17,P33,0),"")</f>
        <v/>
      </c>
      <c r="D33" s="301"/>
      <c r="E33" s="129" t="str">
        <f ca="1">IF(OFFSET('Coach Card'!$H$17,P33,0)&gt;0,IF(B33="Transition","",OFFSET('Coach Card'!$H$17,P33,0)),"")</f>
        <v/>
      </c>
      <c r="F33" s="305" t="str">
        <f ca="1">CONCATENATE(OFFSET('Coach Card'!$J$17,P33,0),IF(OFFSET('Coach Card'!$K$17,P33,0)&lt;&gt;"","-",""),OFFSET('Coach Card'!$K$17,P33,0),IF(OFFSET('Coach Card'!$L$17,P33,0)&lt;&gt;"","-",""),OFFSET('Coach Card'!$L$17,P33,0),IF(OFFSET('Coach Card'!$M$17,P33,0)&lt;&gt;"","-",""),OFFSET('Coach Card'!$M$17,P33,0),IF(AND(OFFSET('Coach Card'!$N$17,P33,0)&lt;&gt;"",RIGHT(OFFSET('Coach Card'!$M$17,P33,0),1)&lt;&gt;"+"),IF(LEFT(OFFSET('Coach Card'!$N$17,P33,0),1)="2","/","-"),""),OFFSET('Coach Card'!$N$17,P33,0),IF(OFFSET('Coach Card'!$O$17,P33,0)&lt;&gt;"",IF(LEFT(OFFSET('Coach Card'!$O$17,P33,0),1)="2","/","-"),""),OFFSET('Coach Card'!$O$17,P33,0),IF(OFFSET('Coach Card'!$P$17,P33,0)&lt;&gt;"","-",""),OFFSET('Coach Card'!$P$17,P33,0),IF(OFFSET('Coach Card'!$Q$17,P33,0)&lt;&gt;"","-",""),OFFSET('Coach Card'!$Q$17,P33,0),IF(OFFSET('Coach Card'!$R$17,P33,0)&lt;&gt;"",IF(LEFT(B33,4)="Acro","/","-"),""),OFFSET('Coach Card'!$R$17,P33,0),IF(OFFSET('Coach Card'!$S$17,P33,0)&lt;&gt;"","-",""),OFFSET('Coach Card'!$S$17,P33,0),IF(OFFSET('Coach Card'!$T$17,P33,0)&lt;&gt;"","-",""),OFFSET('Coach Card'!$T$17,P33,0),IF(OFFSET('Coach Card'!$U$17,P33,0)&lt;&gt;"","-",""),OFFSET('Coach Card'!$U$17,P33,0),IF(OFFSET('Coach Card'!$V$17,P33,0)&lt;&gt;"","-",""),OFFSET('Coach Card'!$V$17,P33,0),IF(OFFSET('Coach Card'!$W$17,P33,0)&lt;&gt;"","-",""),OFFSET('Coach Card'!$W$17,P33,0),IF(OFFSET('Coach Card'!$X$17,P33,0)&lt;&gt;"","-",""),OFFSET('Coach Card'!$X$17,P33,0),IF(OFFSET('Coach Card'!$Y$17,P33,0)&lt;&gt;"","-",""),OFFSET('Coach Card'!$Y$17,P33,0),IF(OFFSET('Coach Card'!$Z$17,P33,0)&lt;&gt;"","-",""),OFFSET('Coach Card'!$Z$17,P33,0),IF(OFFSET('Coach Card'!$AA$17,P33,0)&lt;&gt;"","-",""),OFFSET('Coach Card'!$AA$17,P33,0),IF(OFFSET('Coach Card'!$AB$17,P33,0)&lt;&gt;"","-",""),OFFSET('Coach Card'!$AB$17,P33,0),IF(OFFSET('Coach Card'!$AC$17,P33,0)&lt;&gt;"","-",""),OFFSET('Coach Card'!$AC$17,P33,0))</f>
        <v/>
      </c>
      <c r="G33" s="306"/>
      <c r="H33" s="306"/>
      <c r="I33" s="306"/>
      <c r="J33" s="306"/>
      <c r="K33" s="306"/>
      <c r="L33" s="307"/>
      <c r="M33" s="213" t="str">
        <f ca="1">IF(OR(LEFT(B33,4)="Acro",LEFT(B33,1)="T",LEFT(B33,1)=""),"",IF(OFFSET('Coach Card'!$AD$17,P33,0)="","",OFFSET('Coach Card'!$AD$17,P33,0)))</f>
        <v/>
      </c>
      <c r="N33" s="214" t="str">
        <f ca="1">IF(OFFSET('Coach Card'!$AE$18,P33,0)=0,"",OFFSET('Coach Card'!$AE$18,P33,0))</f>
        <v/>
      </c>
      <c r="O33" s="238"/>
      <c r="P33" s="149">
        <v>36</v>
      </c>
    </row>
    <row r="34" spans="1:16" ht="24.9" customHeight="1" x14ac:dyDescent="0.3">
      <c r="A34" s="129" t="str">
        <f>IFERROR(IF('Coach Card'!D55&lt;&gt;"",IF('Coach Card'!C55&lt;&gt;"",CONCATENATE("0",'Coach Card'!A55,":",IF('Coach Card'!B55&lt;10,CONCATENATE("0",'Coach Card'!B55),'Coach Card'!B55)," - 0",'Coach Card'!C55,":",IF('Coach Card'!D55&lt;10,CONCATENATE("0",'Coach Card'!D55),'Coach Card'!D55)),""),""),"")</f>
        <v/>
      </c>
      <c r="B34" s="129" t="str">
        <f ca="1">IF(OFFSET('Coach Card'!$F$17,P34,0)="Transition","Transition",IF(OFFSET('Coach Card'!$F$17,P34,0)="Transition - Surface Connection","SurfaceConn",IF(OFFSET('Coach Card'!$F$17,P34,0)="Hybrid - Thrust + 2 connections","Req.Hybrid",IF(LEFT(OFFSET('Coach Card'!$F$17,P34,0),4)="Hybr","Hybrid",IF(LEFT(OFFSET('Coach Card'!$F$17,P34,0),4)="Acro",IF(RIGHT(OFFSET('Coach Card'!$F$17,P34,0),4)="Pair","Pair Acro","Acrobatic"),IF(LEFT(OFFSET('Coach Card'!$F$17,P34,0),4)="Tech","TRE",""))))))</f>
        <v/>
      </c>
      <c r="C34" s="300" t="str">
        <f ca="1">IF(OFFSET('Coach Card'!$G$17,P34,0)&gt;0,OFFSET('Coach Card'!$G$17,P34,0),"")</f>
        <v/>
      </c>
      <c r="D34" s="301"/>
      <c r="E34" s="129" t="str">
        <f ca="1">IF(OFFSET('Coach Card'!$H$17,P34,0)&gt;0,IF(B34="Transition","",OFFSET('Coach Card'!$H$17,P34,0)),"")</f>
        <v/>
      </c>
      <c r="F34" s="305" t="str">
        <f ca="1">CONCATENATE(OFFSET('Coach Card'!$J$17,P34,0),IF(OFFSET('Coach Card'!$K$17,P34,0)&lt;&gt;"","-",""),OFFSET('Coach Card'!$K$17,P34,0),IF(OFFSET('Coach Card'!$L$17,P34,0)&lt;&gt;"","-",""),OFFSET('Coach Card'!$L$17,P34,0),IF(OFFSET('Coach Card'!$M$17,P34,0)&lt;&gt;"","-",""),OFFSET('Coach Card'!$M$17,P34,0),IF(AND(OFFSET('Coach Card'!$N$17,P34,0)&lt;&gt;"",RIGHT(OFFSET('Coach Card'!$M$17,P34,0),1)&lt;&gt;"+"),IF(LEFT(OFFSET('Coach Card'!$N$17,P34,0),1)="2","/","-"),""),OFFSET('Coach Card'!$N$17,P34,0),IF(OFFSET('Coach Card'!$O$17,P34,0)&lt;&gt;"",IF(LEFT(OFFSET('Coach Card'!$O$17,P34,0),1)="2","/","-"),""),OFFSET('Coach Card'!$O$17,P34,0),IF(OFFSET('Coach Card'!$P$17,P34,0)&lt;&gt;"","-",""),OFFSET('Coach Card'!$P$17,P34,0),IF(OFFSET('Coach Card'!$Q$17,P34,0)&lt;&gt;"","-",""),OFFSET('Coach Card'!$Q$17,P34,0),IF(OFFSET('Coach Card'!$R$17,P34,0)&lt;&gt;"",IF(LEFT(B34,4)="Acro","/","-"),""),OFFSET('Coach Card'!$R$17,P34,0),IF(OFFSET('Coach Card'!$S$17,P34,0)&lt;&gt;"","-",""),OFFSET('Coach Card'!$S$17,P34,0),IF(OFFSET('Coach Card'!$T$17,P34,0)&lt;&gt;"","-",""),OFFSET('Coach Card'!$T$17,P34,0),IF(OFFSET('Coach Card'!$U$17,P34,0)&lt;&gt;"","-",""),OFFSET('Coach Card'!$U$17,P34,0),IF(OFFSET('Coach Card'!$V$17,P34,0)&lt;&gt;"","-",""),OFFSET('Coach Card'!$V$17,P34,0),IF(OFFSET('Coach Card'!$W$17,P34,0)&lt;&gt;"","-",""),OFFSET('Coach Card'!$W$17,P34,0),IF(OFFSET('Coach Card'!$X$17,P34,0)&lt;&gt;"","-",""),OFFSET('Coach Card'!$X$17,P34,0),IF(OFFSET('Coach Card'!$Y$17,P34,0)&lt;&gt;"","-",""),OFFSET('Coach Card'!$Y$17,P34,0),IF(OFFSET('Coach Card'!$Z$17,P34,0)&lt;&gt;"","-",""),OFFSET('Coach Card'!$Z$17,P34,0),IF(OFFSET('Coach Card'!$AA$17,P34,0)&lt;&gt;"","-",""),OFFSET('Coach Card'!$AA$17,P34,0),IF(OFFSET('Coach Card'!$AB$17,P34,0)&lt;&gt;"","-",""),OFFSET('Coach Card'!$AB$17,P34,0),IF(OFFSET('Coach Card'!$AC$17,P34,0)&lt;&gt;"","-",""),OFFSET('Coach Card'!$AC$17,P34,0))</f>
        <v/>
      </c>
      <c r="G34" s="306"/>
      <c r="H34" s="306"/>
      <c r="I34" s="306"/>
      <c r="J34" s="306"/>
      <c r="K34" s="306"/>
      <c r="L34" s="307"/>
      <c r="M34" s="213" t="str">
        <f ca="1">IF(OR(LEFT(B34,4)="Acro",LEFT(B34,1)="T",LEFT(B34,1)=""),"",IF(OFFSET('Coach Card'!$AD$17,P34,0)="","",OFFSET('Coach Card'!$AD$17,P34,0)))</f>
        <v/>
      </c>
      <c r="N34" s="214" t="str">
        <f ca="1">IF(OFFSET('Coach Card'!$AE$18,P34,0)=0,"",OFFSET('Coach Card'!$AE$18,P34,0))</f>
        <v/>
      </c>
      <c r="O34" s="238"/>
      <c r="P34" s="149">
        <v>38</v>
      </c>
    </row>
    <row r="35" spans="1:16" ht="24.9" customHeight="1" x14ac:dyDescent="0.3">
      <c r="A35" s="129" t="str">
        <f>IFERROR(IF('Coach Card'!D57&lt;&gt;"",IF('Coach Card'!C57&lt;&gt;"",CONCATENATE("0",'Coach Card'!A57,":",IF('Coach Card'!B57&lt;10,CONCATENATE("0",'Coach Card'!B57),'Coach Card'!B57)," - 0",'Coach Card'!C57,":",IF('Coach Card'!D57&lt;10,CONCATENATE("0",'Coach Card'!D57),'Coach Card'!D57)),""),""),"")</f>
        <v/>
      </c>
      <c r="B35" s="129" t="str">
        <f ca="1">IF(OFFSET('Coach Card'!$F$17,P35,0)="Transition","Transition",IF(OFFSET('Coach Card'!$F$17,P35,0)="Transition - Surface Connection","SurfaceConn",IF(OFFSET('Coach Card'!$F$17,P35,0)="Hybrid - Thrust + 2 connections","Req.Hybrid",IF(LEFT(OFFSET('Coach Card'!$F$17,P35,0),4)="Hybr","Hybrid",IF(LEFT(OFFSET('Coach Card'!$F$17,P35,0),4)="Acro",IF(RIGHT(OFFSET('Coach Card'!$F$17,P35,0),4)="Pair","Pair Acro","Acrobatic"),IF(LEFT(OFFSET('Coach Card'!$F$17,P35,0),4)="Tech","TRE",""))))))</f>
        <v/>
      </c>
      <c r="C35" s="300" t="str">
        <f ca="1">IF(OFFSET('Coach Card'!$G$17,P35,0)&gt;0,OFFSET('Coach Card'!$G$17,P35,0),"")</f>
        <v/>
      </c>
      <c r="D35" s="301"/>
      <c r="E35" s="129" t="str">
        <f ca="1">IF(OFFSET('Coach Card'!$H$17,P35,0)&gt;0,IF(B35="Transition","",OFFSET('Coach Card'!$H$17,P35,0)),"")</f>
        <v/>
      </c>
      <c r="F35" s="305" t="str">
        <f ca="1">CONCATENATE(OFFSET('Coach Card'!$J$17,P35,0),IF(OFFSET('Coach Card'!$K$17,P35,0)&lt;&gt;"","-",""),OFFSET('Coach Card'!$K$17,P35,0),IF(OFFSET('Coach Card'!$L$17,P35,0)&lt;&gt;"","-",""),OFFSET('Coach Card'!$L$17,P35,0),IF(OFFSET('Coach Card'!$M$17,P35,0)&lt;&gt;"","-",""),OFFSET('Coach Card'!$M$17,P35,0),IF(AND(OFFSET('Coach Card'!$N$17,P35,0)&lt;&gt;"",RIGHT(OFFSET('Coach Card'!$M$17,P35,0),1)&lt;&gt;"+"),IF(LEFT(OFFSET('Coach Card'!$N$17,P35,0),1)="2","/","-"),""),OFFSET('Coach Card'!$N$17,P35,0),IF(OFFSET('Coach Card'!$O$17,P35,0)&lt;&gt;"",IF(LEFT(OFFSET('Coach Card'!$O$17,P35,0),1)="2","/","-"),""),OFFSET('Coach Card'!$O$17,P35,0),IF(OFFSET('Coach Card'!$P$17,P35,0)&lt;&gt;"","-",""),OFFSET('Coach Card'!$P$17,P35,0),IF(OFFSET('Coach Card'!$Q$17,P35,0)&lt;&gt;"","-",""),OFFSET('Coach Card'!$Q$17,P35,0),IF(OFFSET('Coach Card'!$R$17,P35,0)&lt;&gt;"",IF(LEFT(B35,4)="Acro","/","-"),""),OFFSET('Coach Card'!$R$17,P35,0),IF(OFFSET('Coach Card'!$S$17,P35,0)&lt;&gt;"","-",""),OFFSET('Coach Card'!$S$17,P35,0),IF(OFFSET('Coach Card'!$T$17,P35,0)&lt;&gt;"","-",""),OFFSET('Coach Card'!$T$17,P35,0),IF(OFFSET('Coach Card'!$U$17,P35,0)&lt;&gt;"","-",""),OFFSET('Coach Card'!$U$17,P35,0),IF(OFFSET('Coach Card'!$V$17,P35,0)&lt;&gt;"","-",""),OFFSET('Coach Card'!$V$17,P35,0),IF(OFFSET('Coach Card'!$W$17,P35,0)&lt;&gt;"","-",""),OFFSET('Coach Card'!$W$17,P35,0),IF(OFFSET('Coach Card'!$X$17,P35,0)&lt;&gt;"","-",""),OFFSET('Coach Card'!$X$17,P35,0),IF(OFFSET('Coach Card'!$Y$17,P35,0)&lt;&gt;"","-",""),OFFSET('Coach Card'!$Y$17,P35,0),IF(OFFSET('Coach Card'!$Z$17,P35,0)&lt;&gt;"","-",""),OFFSET('Coach Card'!$Z$17,P35,0),IF(OFFSET('Coach Card'!$AA$17,P35,0)&lt;&gt;"","-",""),OFFSET('Coach Card'!$AA$17,P35,0),IF(OFFSET('Coach Card'!$AB$17,P35,0)&lt;&gt;"","-",""),OFFSET('Coach Card'!$AB$17,P35,0),IF(OFFSET('Coach Card'!$AC$17,P35,0)&lt;&gt;"","-",""),OFFSET('Coach Card'!$AC$17,P35,0))</f>
        <v/>
      </c>
      <c r="G35" s="306"/>
      <c r="H35" s="306"/>
      <c r="I35" s="306"/>
      <c r="J35" s="306"/>
      <c r="K35" s="306"/>
      <c r="L35" s="307"/>
      <c r="M35" s="213" t="str">
        <f ca="1">IF(OR(LEFT(B35,4)="Acro",LEFT(B35,1)="T",LEFT(B35,1)=""),"",IF(OFFSET('Coach Card'!$AD$17,P35,0)="","",OFFSET('Coach Card'!$AD$17,P35,0)))</f>
        <v/>
      </c>
      <c r="N35" s="214" t="str">
        <f ca="1">IF(OFFSET('Coach Card'!$AE$18,P35,0)=0,"",OFFSET('Coach Card'!$AE$18,P35,0))</f>
        <v/>
      </c>
      <c r="O35" s="238"/>
      <c r="P35" s="149">
        <v>40</v>
      </c>
    </row>
    <row r="36" spans="1:16" ht="24.9" customHeight="1" x14ac:dyDescent="0.3">
      <c r="A36" s="129" t="str">
        <f>IFERROR(IF('Coach Card'!D59&lt;&gt;"",IF('Coach Card'!C59&lt;&gt;"",CONCATENATE("0",'Coach Card'!A59,":",IF('Coach Card'!B59&lt;10,CONCATENATE("0",'Coach Card'!B59),'Coach Card'!B59)," - 0",'Coach Card'!C59,":",IF('Coach Card'!D59&lt;10,CONCATENATE("0",'Coach Card'!D59),'Coach Card'!D59)),""),""),"")</f>
        <v/>
      </c>
      <c r="B36" s="129" t="str">
        <f ca="1">IF(OFFSET('Coach Card'!$F$17,P36,0)="Transition","Transition",IF(OFFSET('Coach Card'!$F$17,P36,0)="Transition - Surface Connection","SurfaceConn",IF(OFFSET('Coach Card'!$F$17,P36,0)="Hybrid - Thrust + 2 connections","Req.Hybrid",IF(LEFT(OFFSET('Coach Card'!$F$17,P36,0),4)="Hybr","Hybrid",IF(LEFT(OFFSET('Coach Card'!$F$17,P36,0),4)="Acro",IF(RIGHT(OFFSET('Coach Card'!$F$17,P36,0),4)="Pair","Pair Acro","Acrobatic"),IF(LEFT(OFFSET('Coach Card'!$F$17,P36,0),4)="Tech","TRE",""))))))</f>
        <v/>
      </c>
      <c r="C36" s="300" t="str">
        <f ca="1">IF(OFFSET('Coach Card'!$G$17,P36,0)&gt;0,OFFSET('Coach Card'!$G$17,P36,0),"")</f>
        <v/>
      </c>
      <c r="D36" s="301"/>
      <c r="E36" s="129" t="str">
        <f ca="1">IF(OFFSET('Coach Card'!$H$17,P36,0)&gt;0,IF(B36="Transition","",OFFSET('Coach Card'!$H$17,P36,0)),"")</f>
        <v/>
      </c>
      <c r="F36" s="305" t="str">
        <f ca="1">CONCATENATE(OFFSET('Coach Card'!$J$17,P36,0),IF(OFFSET('Coach Card'!$K$17,P36,0)&lt;&gt;"","-",""),OFFSET('Coach Card'!$K$17,P36,0),IF(OFFSET('Coach Card'!$L$17,P36,0)&lt;&gt;"","-",""),OFFSET('Coach Card'!$L$17,P36,0),IF(OFFSET('Coach Card'!$M$17,P36,0)&lt;&gt;"","-",""),OFFSET('Coach Card'!$M$17,P36,0),IF(AND(OFFSET('Coach Card'!$N$17,P36,0)&lt;&gt;"",RIGHT(OFFSET('Coach Card'!$M$17,P36,0),1)&lt;&gt;"+"),IF(LEFT(OFFSET('Coach Card'!$N$17,P36,0),1)="2","/","-"),""),OFFSET('Coach Card'!$N$17,P36,0),IF(OFFSET('Coach Card'!$O$17,P36,0)&lt;&gt;"",IF(LEFT(OFFSET('Coach Card'!$O$17,P36,0),1)="2","/","-"),""),OFFSET('Coach Card'!$O$17,P36,0),IF(OFFSET('Coach Card'!$P$17,P36,0)&lt;&gt;"","-",""),OFFSET('Coach Card'!$P$17,P36,0),IF(OFFSET('Coach Card'!$Q$17,P36,0)&lt;&gt;"","-",""),OFFSET('Coach Card'!$Q$17,P36,0),IF(OFFSET('Coach Card'!$R$17,P36,0)&lt;&gt;"",IF(LEFT(B36,4)="Acro","/","-"),""),OFFSET('Coach Card'!$R$17,P36,0),IF(OFFSET('Coach Card'!$S$17,P36,0)&lt;&gt;"","-",""),OFFSET('Coach Card'!$S$17,P36,0),IF(OFFSET('Coach Card'!$T$17,P36,0)&lt;&gt;"","-",""),OFFSET('Coach Card'!$T$17,P36,0),IF(OFFSET('Coach Card'!$U$17,P36,0)&lt;&gt;"","-",""),OFFSET('Coach Card'!$U$17,P36,0),IF(OFFSET('Coach Card'!$V$17,P36,0)&lt;&gt;"","-",""),OFFSET('Coach Card'!$V$17,P36,0),IF(OFFSET('Coach Card'!$W$17,P36,0)&lt;&gt;"","-",""),OFFSET('Coach Card'!$W$17,P36,0),IF(OFFSET('Coach Card'!$X$17,P36,0)&lt;&gt;"","-",""),OFFSET('Coach Card'!$X$17,P36,0),IF(OFFSET('Coach Card'!$Y$17,P36,0)&lt;&gt;"","-",""),OFFSET('Coach Card'!$Y$17,P36,0),IF(OFFSET('Coach Card'!$Z$17,P36,0)&lt;&gt;"","-",""),OFFSET('Coach Card'!$Z$17,P36,0),IF(OFFSET('Coach Card'!$AA$17,P36,0)&lt;&gt;"","-",""),OFFSET('Coach Card'!$AA$17,P36,0),IF(OFFSET('Coach Card'!$AB$17,P36,0)&lt;&gt;"","-",""),OFFSET('Coach Card'!$AB$17,P36,0),IF(OFFSET('Coach Card'!$AC$17,P36,0)&lt;&gt;"","-",""),OFFSET('Coach Card'!$AC$17,P36,0))</f>
        <v/>
      </c>
      <c r="G36" s="306"/>
      <c r="H36" s="306"/>
      <c r="I36" s="306"/>
      <c r="J36" s="306"/>
      <c r="K36" s="306"/>
      <c r="L36" s="307"/>
      <c r="M36" s="213" t="str">
        <f ca="1">IF(OR(LEFT(B36,4)="Acro",LEFT(B36,1)="T",LEFT(B36,1)=""),"",IF(OFFSET('Coach Card'!$AD$17,P36,0)="","",OFFSET('Coach Card'!$AD$17,P36,0)))</f>
        <v/>
      </c>
      <c r="N36" s="214" t="str">
        <f ca="1">IF(OFFSET('Coach Card'!$AE$18,P36,0)=0,"",OFFSET('Coach Card'!$AE$18,P36,0))</f>
        <v/>
      </c>
      <c r="O36" s="238"/>
      <c r="P36" s="149">
        <v>42</v>
      </c>
    </row>
    <row r="37" spans="1:16" ht="24.9" customHeight="1" x14ac:dyDescent="0.3">
      <c r="A37" s="129" t="str">
        <f>IFERROR(IF('Coach Card'!D61&lt;&gt;"",IF('Coach Card'!C61&lt;&gt;"",CONCATENATE("0",'Coach Card'!A61,":",IF('Coach Card'!B61&lt;10,CONCATENATE("0",'Coach Card'!B61),'Coach Card'!B61)," - 0",'Coach Card'!C61,":",IF('Coach Card'!D61&lt;10,CONCATENATE("0",'Coach Card'!D61),'Coach Card'!D61)),""),""),"")</f>
        <v/>
      </c>
      <c r="B37" s="129" t="str">
        <f ca="1">IF(OFFSET('Coach Card'!$F$17,P37,0)="Transition","Transition",IF(OFFSET('Coach Card'!$F$17,P37,0)="Transition - Surface Connection","SurfaceConn",IF(OFFSET('Coach Card'!$F$17,P37,0)="Hybrid - Thrust + 2 connections","Req.Hybrid",IF(LEFT(OFFSET('Coach Card'!$F$17,P37,0),4)="Hybr","Hybrid",IF(LEFT(OFFSET('Coach Card'!$F$17,P37,0),4)="Acro",IF(RIGHT(OFFSET('Coach Card'!$F$17,P37,0),4)="Pair","Pair Acro","Acrobatic"),IF(LEFT(OFFSET('Coach Card'!$F$17,P37,0),4)="Tech","TRE",""))))))</f>
        <v/>
      </c>
      <c r="C37" s="300" t="str">
        <f ca="1">IF(OFFSET('Coach Card'!$G$17,P37,0)&gt;0,OFFSET('Coach Card'!$G$17,P37,0),"")</f>
        <v/>
      </c>
      <c r="D37" s="301"/>
      <c r="E37" s="129" t="str">
        <f ca="1">IF(OFFSET('Coach Card'!$H$17,P37,0)&gt;0,IF(B37="Transition","",OFFSET('Coach Card'!$H$17,P37,0)),"")</f>
        <v/>
      </c>
      <c r="F37" s="305" t="str">
        <f ca="1">CONCATENATE(OFFSET('Coach Card'!$J$17,P37,0),IF(OFFSET('Coach Card'!$K$17,P37,0)&lt;&gt;"","-",""),OFFSET('Coach Card'!$K$17,P37,0),IF(OFFSET('Coach Card'!$L$17,P37,0)&lt;&gt;"","-",""),OFFSET('Coach Card'!$L$17,P37,0),IF(OFFSET('Coach Card'!$M$17,P37,0)&lt;&gt;"","-",""),OFFSET('Coach Card'!$M$17,P37,0),IF(AND(OFFSET('Coach Card'!$N$17,P37,0)&lt;&gt;"",RIGHT(OFFSET('Coach Card'!$M$17,P37,0),1)&lt;&gt;"+"),IF(LEFT(OFFSET('Coach Card'!$N$17,P37,0),1)="2","/","-"),""),OFFSET('Coach Card'!$N$17,P37,0),IF(OFFSET('Coach Card'!$O$17,P37,0)&lt;&gt;"",IF(LEFT(OFFSET('Coach Card'!$O$17,P37,0),1)="2","/","-"),""),OFFSET('Coach Card'!$O$17,P37,0),IF(OFFSET('Coach Card'!$P$17,P37,0)&lt;&gt;"","-",""),OFFSET('Coach Card'!$P$17,P37,0),IF(OFFSET('Coach Card'!$Q$17,P37,0)&lt;&gt;"","-",""),OFFSET('Coach Card'!$Q$17,P37,0),IF(OFFSET('Coach Card'!$R$17,P37,0)&lt;&gt;"",IF(LEFT(B37,4)="Acro","/","-"),""),OFFSET('Coach Card'!$R$17,P37,0),IF(OFFSET('Coach Card'!$S$17,P37,0)&lt;&gt;"","-",""),OFFSET('Coach Card'!$S$17,P37,0),IF(OFFSET('Coach Card'!$T$17,P37,0)&lt;&gt;"","-",""),OFFSET('Coach Card'!$T$17,P37,0),IF(OFFSET('Coach Card'!$U$17,P37,0)&lt;&gt;"","-",""),OFFSET('Coach Card'!$U$17,P37,0),IF(OFFSET('Coach Card'!$V$17,P37,0)&lt;&gt;"","-",""),OFFSET('Coach Card'!$V$17,P37,0),IF(OFFSET('Coach Card'!$W$17,P37,0)&lt;&gt;"","-",""),OFFSET('Coach Card'!$W$17,P37,0),IF(OFFSET('Coach Card'!$X$17,P37,0)&lt;&gt;"","-",""),OFFSET('Coach Card'!$X$17,P37,0),IF(OFFSET('Coach Card'!$Y$17,P37,0)&lt;&gt;"","-",""),OFFSET('Coach Card'!$Y$17,P37,0),IF(OFFSET('Coach Card'!$Z$17,P37,0)&lt;&gt;"","-",""),OFFSET('Coach Card'!$Z$17,P37,0),IF(OFFSET('Coach Card'!$AA$17,P37,0)&lt;&gt;"","-",""),OFFSET('Coach Card'!$AA$17,P37,0),IF(OFFSET('Coach Card'!$AB$17,P37,0)&lt;&gt;"","-",""),OFFSET('Coach Card'!$AB$17,P37,0),IF(OFFSET('Coach Card'!$AC$17,P37,0)&lt;&gt;"","-",""),OFFSET('Coach Card'!$AC$17,P37,0))</f>
        <v/>
      </c>
      <c r="G37" s="306"/>
      <c r="H37" s="306"/>
      <c r="I37" s="306"/>
      <c r="J37" s="306"/>
      <c r="K37" s="306"/>
      <c r="L37" s="307"/>
      <c r="M37" s="213" t="str">
        <f ca="1">IF(OR(LEFT(B37,4)="Acro",LEFT(B37,1)="T",LEFT(B37,1)=""),"",IF(OFFSET('Coach Card'!$AD$17,P37,0)="","",OFFSET('Coach Card'!$AD$17,P37,0)))</f>
        <v/>
      </c>
      <c r="N37" s="214" t="str">
        <f ca="1">IF(OFFSET('Coach Card'!$AE$18,P37,0)=0,"",OFFSET('Coach Card'!$AE$18,P37,0))</f>
        <v/>
      </c>
      <c r="O37" s="238"/>
      <c r="P37" s="149">
        <v>44</v>
      </c>
    </row>
    <row r="38" spans="1:16" ht="24.9" customHeight="1" x14ac:dyDescent="0.3">
      <c r="A38" s="129" t="str">
        <f>IFERROR(IF('Coach Card'!D63&lt;&gt;"",IF('Coach Card'!C63&lt;&gt;"",CONCATENATE("0",'Coach Card'!A63,":",IF('Coach Card'!B63&lt;10,CONCATENATE("0",'Coach Card'!B63),'Coach Card'!B63)," - 0",'Coach Card'!C63,":",IF('Coach Card'!D63&lt;10,CONCATENATE("0",'Coach Card'!D63),'Coach Card'!D63)),""),""),"")</f>
        <v/>
      </c>
      <c r="B38" s="129" t="str">
        <f ca="1">IF(OFFSET('Coach Card'!$F$17,P38,0)="Transition","Transition",IF(OFFSET('Coach Card'!$F$17,P38,0)="Transition - Surface Connection","SurfaceConn",IF(OFFSET('Coach Card'!$F$17,P38,0)="Hybrid - Thrust + 2 connections","Req.Hybrid",IF(LEFT(OFFSET('Coach Card'!$F$17,P38,0),4)="Hybr","Hybrid",IF(LEFT(OFFSET('Coach Card'!$F$17,P38,0),4)="Acro",IF(RIGHT(OFFSET('Coach Card'!$F$17,P38,0),4)="Pair","Pair Acro","Acrobatic"),IF(LEFT(OFFSET('Coach Card'!$F$17,P38,0),4)="Tech","TRE",""))))))</f>
        <v/>
      </c>
      <c r="C38" s="300" t="str">
        <f ca="1">IF(OFFSET('Coach Card'!$G$17,P38,0)&gt;0,OFFSET('Coach Card'!$G$17,P38,0),"")</f>
        <v/>
      </c>
      <c r="D38" s="301"/>
      <c r="E38" s="129" t="str">
        <f ca="1">IF(OFFSET('Coach Card'!$H$17,P38,0)&gt;0,IF(B38="Transition","",OFFSET('Coach Card'!$H$17,P38,0)),"")</f>
        <v/>
      </c>
      <c r="F38" s="305" t="str">
        <f ca="1">CONCATENATE(OFFSET('Coach Card'!$J$17,P38,0),IF(OFFSET('Coach Card'!$K$17,P38,0)&lt;&gt;"","-",""),OFFSET('Coach Card'!$K$17,P38,0),IF(OFFSET('Coach Card'!$L$17,P38,0)&lt;&gt;"","-",""),OFFSET('Coach Card'!$L$17,P38,0),IF(OFFSET('Coach Card'!$M$17,P38,0)&lt;&gt;"","-",""),OFFSET('Coach Card'!$M$17,P38,0),IF(AND(OFFSET('Coach Card'!$N$17,P38,0)&lt;&gt;"",RIGHT(OFFSET('Coach Card'!$M$17,P38,0),1)&lt;&gt;"+"),IF(LEFT(OFFSET('Coach Card'!$N$17,P38,0),1)="2","/","-"),""),OFFSET('Coach Card'!$N$17,P38,0),IF(OFFSET('Coach Card'!$O$17,P38,0)&lt;&gt;"",IF(LEFT(OFFSET('Coach Card'!$O$17,P38,0),1)="2","/","-"),""),OFFSET('Coach Card'!$O$17,P38,0),IF(OFFSET('Coach Card'!$P$17,P38,0)&lt;&gt;"","-",""),OFFSET('Coach Card'!$P$17,P38,0),IF(OFFSET('Coach Card'!$Q$17,P38,0)&lt;&gt;"","-",""),OFFSET('Coach Card'!$Q$17,P38,0),IF(OFFSET('Coach Card'!$R$17,P38,0)&lt;&gt;"",IF(LEFT(B38,4)="Acro","/","-"),""),OFFSET('Coach Card'!$R$17,P38,0),IF(OFFSET('Coach Card'!$S$17,P38,0)&lt;&gt;"","-",""),OFFSET('Coach Card'!$S$17,P38,0),IF(OFFSET('Coach Card'!$T$17,P38,0)&lt;&gt;"","-",""),OFFSET('Coach Card'!$T$17,P38,0),IF(OFFSET('Coach Card'!$U$17,P38,0)&lt;&gt;"","-",""),OFFSET('Coach Card'!$U$17,P38,0),IF(OFFSET('Coach Card'!$V$17,P38,0)&lt;&gt;"","-",""),OFFSET('Coach Card'!$V$17,P38,0),IF(OFFSET('Coach Card'!$W$17,P38,0)&lt;&gt;"","-",""),OFFSET('Coach Card'!$W$17,P38,0),IF(OFFSET('Coach Card'!$X$17,P38,0)&lt;&gt;"","-",""),OFFSET('Coach Card'!$X$17,P38,0),IF(OFFSET('Coach Card'!$Y$17,P38,0)&lt;&gt;"","-",""),OFFSET('Coach Card'!$Y$17,P38,0),IF(OFFSET('Coach Card'!$Z$17,P38,0)&lt;&gt;"","-",""),OFFSET('Coach Card'!$Z$17,P38,0),IF(OFFSET('Coach Card'!$AA$17,P38,0)&lt;&gt;"","-",""),OFFSET('Coach Card'!$AA$17,P38,0),IF(OFFSET('Coach Card'!$AB$17,P38,0)&lt;&gt;"","-",""),OFFSET('Coach Card'!$AB$17,P38,0),IF(OFFSET('Coach Card'!$AC$17,P38,0)&lt;&gt;"","-",""),OFFSET('Coach Card'!$AC$17,P38,0))</f>
        <v/>
      </c>
      <c r="G38" s="306"/>
      <c r="H38" s="306"/>
      <c r="I38" s="306"/>
      <c r="J38" s="306"/>
      <c r="K38" s="306"/>
      <c r="L38" s="307"/>
      <c r="M38" s="213" t="str">
        <f ca="1">IF(OR(LEFT(B38,4)="Acro",LEFT(B38,1)="T",LEFT(B38,1)=""),"",IF(OFFSET('Coach Card'!$AD$17,P38,0)="","",OFFSET('Coach Card'!$AD$17,P38,0)))</f>
        <v/>
      </c>
      <c r="N38" s="214" t="str">
        <f ca="1">IF(OFFSET('Coach Card'!$AE$18,P38,0)=0,"",OFFSET('Coach Card'!$AE$18,P38,0))</f>
        <v/>
      </c>
      <c r="O38" s="238"/>
      <c r="P38" s="149">
        <v>46</v>
      </c>
    </row>
    <row r="39" spans="1:16" ht="24.9" customHeight="1" x14ac:dyDescent="0.3">
      <c r="A39" s="129" t="str">
        <f>IFERROR(IF('Coach Card'!D65&lt;&gt;"",IF('Coach Card'!C65&lt;&gt;"",CONCATENATE("0",'Coach Card'!A65,":",IF('Coach Card'!B65&lt;10,CONCATENATE("0",'Coach Card'!B65),'Coach Card'!B65)," - 0",'Coach Card'!C65,":",IF('Coach Card'!D65&lt;10,CONCATENATE("0",'Coach Card'!D65),'Coach Card'!D65)),""),""),"")</f>
        <v/>
      </c>
      <c r="B39" s="129" t="str">
        <f ca="1">IF(OFFSET('Coach Card'!$F$17,P39,0)="Transition","Transition",IF(OFFSET('Coach Card'!$F$17,P39,0)="Transition - Surface Connection","SurfaceConn",IF(OFFSET('Coach Card'!$F$17,P39,0)="Hybrid - Thrust + 2 connections","Req.Hybrid",IF(LEFT(OFFSET('Coach Card'!$F$17,P39,0),4)="Hybr","Hybrid",IF(LEFT(OFFSET('Coach Card'!$F$17,P39,0),4)="Acro",IF(RIGHT(OFFSET('Coach Card'!$F$17,P39,0),4)="Pair","Pair Acro","Acrobatic"),IF(LEFT(OFFSET('Coach Card'!$F$17,P39,0),4)="Tech","TRE",""))))))</f>
        <v/>
      </c>
      <c r="C39" s="300" t="str">
        <f ca="1">IF(OFFSET('Coach Card'!$G$17,P39,0)&gt;0,OFFSET('Coach Card'!$G$17,P39,0),"")</f>
        <v/>
      </c>
      <c r="D39" s="301"/>
      <c r="E39" s="129" t="str">
        <f ca="1">IF(OFFSET('Coach Card'!$H$17,P39,0)&gt;0,IF(B39="Transition","",OFFSET('Coach Card'!$H$17,P39,0)),"")</f>
        <v/>
      </c>
      <c r="F39" s="305" t="str">
        <f ca="1">CONCATENATE(OFFSET('Coach Card'!$J$17,P39,0),IF(OFFSET('Coach Card'!$K$17,P39,0)&lt;&gt;"","-",""),OFFSET('Coach Card'!$K$17,P39,0),IF(OFFSET('Coach Card'!$L$17,P39,0)&lt;&gt;"","-",""),OFFSET('Coach Card'!$L$17,P39,0),IF(OFFSET('Coach Card'!$M$17,P39,0)&lt;&gt;"","-",""),OFFSET('Coach Card'!$M$17,P39,0),IF(AND(OFFSET('Coach Card'!$N$17,P39,0)&lt;&gt;"",RIGHT(OFFSET('Coach Card'!$M$17,P39,0),1)&lt;&gt;"+"),IF(LEFT(OFFSET('Coach Card'!$N$17,P39,0),1)="2","/","-"),""),OFFSET('Coach Card'!$N$17,P39,0),IF(OFFSET('Coach Card'!$O$17,P39,0)&lt;&gt;"",IF(LEFT(OFFSET('Coach Card'!$O$17,P39,0),1)="2","/","-"),""),OFFSET('Coach Card'!$O$17,P39,0),IF(OFFSET('Coach Card'!$P$17,P39,0)&lt;&gt;"","-",""),OFFSET('Coach Card'!$P$17,P39,0),IF(OFFSET('Coach Card'!$Q$17,P39,0)&lt;&gt;"","-",""),OFFSET('Coach Card'!$Q$17,P39,0),IF(OFFSET('Coach Card'!$R$17,P39,0)&lt;&gt;"",IF(LEFT(B39,4)="Acro","/","-"),""),OFFSET('Coach Card'!$R$17,P39,0),IF(OFFSET('Coach Card'!$S$17,P39,0)&lt;&gt;"","-",""),OFFSET('Coach Card'!$S$17,P39,0),IF(OFFSET('Coach Card'!$T$17,P39,0)&lt;&gt;"","-",""),OFFSET('Coach Card'!$T$17,P39,0),IF(OFFSET('Coach Card'!$U$17,P39,0)&lt;&gt;"","-",""),OFFSET('Coach Card'!$U$17,P39,0),IF(OFFSET('Coach Card'!$V$17,P39,0)&lt;&gt;"","-",""),OFFSET('Coach Card'!$V$17,P39,0),IF(OFFSET('Coach Card'!$W$17,P39,0)&lt;&gt;"","-",""),OFFSET('Coach Card'!$W$17,P39,0),IF(OFFSET('Coach Card'!$X$17,P39,0)&lt;&gt;"","-",""),OFFSET('Coach Card'!$X$17,P39,0),IF(OFFSET('Coach Card'!$Y$17,P39,0)&lt;&gt;"","-",""),OFFSET('Coach Card'!$Y$17,P39,0),IF(OFFSET('Coach Card'!$Z$17,P39,0)&lt;&gt;"","-",""),OFFSET('Coach Card'!$Z$17,P39,0),IF(OFFSET('Coach Card'!$AA$17,P39,0)&lt;&gt;"","-",""),OFFSET('Coach Card'!$AA$17,P39,0),IF(OFFSET('Coach Card'!$AB$17,P39,0)&lt;&gt;"","-",""),OFFSET('Coach Card'!$AB$17,P39,0),IF(OFFSET('Coach Card'!$AC$17,P39,0)&lt;&gt;"","-",""),OFFSET('Coach Card'!$AC$17,P39,0))</f>
        <v/>
      </c>
      <c r="G39" s="306"/>
      <c r="H39" s="306"/>
      <c r="I39" s="306"/>
      <c r="J39" s="306"/>
      <c r="K39" s="306"/>
      <c r="L39" s="307"/>
      <c r="M39" s="213" t="str">
        <f ca="1">IF(OR(LEFT(B39,4)="Acro",LEFT(B39,1)="T",LEFT(B39,1)=""),"",IF(OFFSET('Coach Card'!$AD$17,P39,0)="","",OFFSET('Coach Card'!$AD$17,P39,0)))</f>
        <v/>
      </c>
      <c r="N39" s="214" t="str">
        <f ca="1">IF(OFFSET('Coach Card'!$AE$18,P39,0)=0,"",OFFSET('Coach Card'!$AE$18,P39,0))</f>
        <v/>
      </c>
      <c r="O39" s="238"/>
      <c r="P39" s="149">
        <v>48</v>
      </c>
    </row>
    <row r="40" spans="1:16" ht="24.9" customHeight="1" x14ac:dyDescent="0.3">
      <c r="A40" s="153" t="str">
        <f>IFERROR(IF('Coach Card'!D67&lt;&gt;"",IF('Coach Card'!C67&lt;&gt;"",CONCATENATE("0",'Coach Card'!A67,":",IF('Coach Card'!B67&lt;10,CONCATENATE("0",'Coach Card'!B67),'Coach Card'!B67)," - 0",'Coach Card'!C67,":",IF('Coach Card'!D67&lt;10,CONCATENATE("0",'Coach Card'!D67),'Coach Card'!D67)),""),""),"")</f>
        <v/>
      </c>
      <c r="B40" s="129" t="str">
        <f ca="1">IF(OFFSET('Coach Card'!$F$17,P40,0)="Transition","Transition",IF(OFFSET('Coach Card'!$F$17,P40,0)="Transition - Surface Connection","SurfaceConn",IF(OFFSET('Coach Card'!$F$17,P40,0)="Hybrid - Thrust + 2 connections","Req.Hybrid",IF(LEFT(OFFSET('Coach Card'!$F$17,P40,0),4)="Hybr","Hybrid",IF(LEFT(OFFSET('Coach Card'!$F$17,P40,0),4)="Acro",IF(RIGHT(OFFSET('Coach Card'!$F$17,P40,0),4)="Pair","Pair Acro","Acrobatic"),IF(LEFT(OFFSET('Coach Card'!$F$17,P40,0),4)="Tech","TRE",""))))))</f>
        <v/>
      </c>
      <c r="C40" s="302" t="str">
        <f ca="1">IF(OFFSET('Coach Card'!$G$17,P40,0)&gt;0,OFFSET('Coach Card'!$G$17,P40,0),"")</f>
        <v/>
      </c>
      <c r="D40" s="303"/>
      <c r="E40" s="129" t="str">
        <f ca="1">IF(OFFSET('Coach Card'!$H$17,P40,0)&gt;0,IF(B40="Transition","",OFFSET('Coach Card'!$H$17,P40,0)),"")</f>
        <v/>
      </c>
      <c r="F40" s="305" t="str">
        <f ca="1">CONCATENATE(OFFSET('Coach Card'!$J$17,P40,0),IF(OFFSET('Coach Card'!$K$17,P40,0)&lt;&gt;"","-",""),OFFSET('Coach Card'!$K$17,P40,0),IF(OFFSET('Coach Card'!$L$17,P40,0)&lt;&gt;"","-",""),OFFSET('Coach Card'!$L$17,P40,0),IF(OFFSET('Coach Card'!$M$17,P40,0)&lt;&gt;"","-",""),OFFSET('Coach Card'!$M$17,P40,0),IF(AND(OFFSET('Coach Card'!$N$17,P40,0)&lt;&gt;"",RIGHT(OFFSET('Coach Card'!$M$17,P40,0),1)&lt;&gt;"+"),IF(LEFT(OFFSET('Coach Card'!$N$17,P40,0),1)="2","/","-"),""),OFFSET('Coach Card'!$N$17,P40,0),IF(OFFSET('Coach Card'!$O$17,P40,0)&lt;&gt;"",IF(LEFT(OFFSET('Coach Card'!$O$17,P40,0),1)="2","/","-"),""),OFFSET('Coach Card'!$O$17,P40,0),IF(OFFSET('Coach Card'!$P$17,P40,0)&lt;&gt;"","-",""),OFFSET('Coach Card'!$P$17,P40,0),IF(OFFSET('Coach Card'!$Q$17,P40,0)&lt;&gt;"","-",""),OFFSET('Coach Card'!$Q$17,P40,0),IF(OFFSET('Coach Card'!$R$17,P40,0)&lt;&gt;"",IF(LEFT(B40,4)="Acro","/","-"),""),OFFSET('Coach Card'!$R$17,P40,0),IF(OFFSET('Coach Card'!$S$17,P40,0)&lt;&gt;"","-",""),OFFSET('Coach Card'!$S$17,P40,0),IF(OFFSET('Coach Card'!$T$17,P40,0)&lt;&gt;"","-",""),OFFSET('Coach Card'!$T$17,P40,0),IF(OFFSET('Coach Card'!$U$17,P40,0)&lt;&gt;"","-",""),OFFSET('Coach Card'!$U$17,P40,0),IF(OFFSET('Coach Card'!$V$17,P40,0)&lt;&gt;"","-",""),OFFSET('Coach Card'!$V$17,P40,0),IF(OFFSET('Coach Card'!$W$17,P40,0)&lt;&gt;"","-",""),OFFSET('Coach Card'!$W$17,P40,0),IF(OFFSET('Coach Card'!$X$17,P40,0)&lt;&gt;"","-",""),OFFSET('Coach Card'!$X$17,P40,0),IF(OFFSET('Coach Card'!$Y$17,P40,0)&lt;&gt;"","-",""),OFFSET('Coach Card'!$Y$17,P40,0),IF(OFFSET('Coach Card'!$Z$17,P40,0)&lt;&gt;"","-",""),OFFSET('Coach Card'!$Z$17,P40,0),IF(OFFSET('Coach Card'!$AA$17,P40,0)&lt;&gt;"","-",""),OFFSET('Coach Card'!$AA$17,P40,0),IF(OFFSET('Coach Card'!$AB$17,P40,0)&lt;&gt;"","-",""),OFFSET('Coach Card'!$AB$17,P40,0),IF(OFFSET('Coach Card'!$AC$17,P40,0)&lt;&gt;"","-",""),OFFSET('Coach Card'!$AC$17,P40,0))</f>
        <v/>
      </c>
      <c r="G40" s="306"/>
      <c r="H40" s="306"/>
      <c r="I40" s="306"/>
      <c r="J40" s="306"/>
      <c r="K40" s="306"/>
      <c r="L40" s="307"/>
      <c r="M40" s="213" t="str">
        <f ca="1">IF(OR(LEFT(B40,4)="Acro",LEFT(B40,1)="T",LEFT(B40,1)=""),"",IF(OFFSET('Coach Card'!$AD$17,P40,0)="","",OFFSET('Coach Card'!$AD$17,P40,0)))</f>
        <v/>
      </c>
      <c r="N40" s="214" t="str">
        <f ca="1">IF(OFFSET('Coach Card'!$AE$18,P40,0)=0,"",OFFSET('Coach Card'!$AE$18,P40,0))</f>
        <v/>
      </c>
      <c r="O40" s="238"/>
      <c r="P40" s="149">
        <v>50</v>
      </c>
    </row>
    <row r="41" spans="1:16" ht="24.9" customHeight="1" x14ac:dyDescent="0.3">
      <c r="A41" s="194"/>
      <c r="B41" s="304"/>
      <c r="C41" s="304"/>
      <c r="D41" s="304"/>
      <c r="E41" s="154"/>
      <c r="F41" s="310" t="str">
        <f>IFERROR(IF(AND('Coach Card'!BS8&lt;&gt;"T",'Coach Card'!BS3="No"),IF('Coach Card'!FD15="Yes",IF('Coach Card'!EF15&lt;&gt;"","--&gt;&gt; To many of the same Hybrid teqnique in one Element &lt;&lt;--",IF('Coach Card'!DI14&lt;&gt;"","--&gt;&gt; To many Hybrids from the same family in one Element ! &lt;&lt;--","")),"--&gt;&gt; All Hybrid families are not present ! &lt;&lt;--"),""),"")</f>
        <v>--&gt;&gt; All Hybrid families are not present ! &lt;&lt;--</v>
      </c>
      <c r="G41" s="310"/>
      <c r="H41" s="310"/>
      <c r="I41" s="310"/>
      <c r="J41" s="310"/>
      <c r="K41" s="311" t="s">
        <v>624</v>
      </c>
      <c r="L41" s="311"/>
      <c r="M41" s="312"/>
      <c r="N41" s="215" t="str">
        <f>IF('Coach Card'!$AE$13=0,"",'Coach Card'!$AE$13)</f>
        <v/>
      </c>
      <c r="O41" s="238"/>
    </row>
    <row r="42" spans="1:16" ht="14.1" customHeight="1" x14ac:dyDescent="0.3">
      <c r="A42" s="93"/>
      <c r="B42" s="93"/>
      <c r="C42" s="93"/>
      <c r="D42" s="93"/>
      <c r="E42" s="93"/>
      <c r="F42" s="93"/>
      <c r="G42" s="93"/>
      <c r="H42" s="93"/>
      <c r="I42" s="93"/>
      <c r="J42" s="93"/>
      <c r="K42" s="93"/>
      <c r="L42" s="93"/>
      <c r="M42" s="93"/>
      <c r="N42" s="93"/>
      <c r="O42" s="93"/>
    </row>
    <row r="43" spans="1:16" ht="19.5" customHeight="1" x14ac:dyDescent="0.25">
      <c r="B43" s="100"/>
      <c r="C43" s="104" t="str">
        <f>A5</f>
        <v>Club:</v>
      </c>
      <c r="D43" s="308" t="str">
        <f>IF('Coach Card'!F5&lt;&gt;"",'Coach Card'!F5,"")</f>
        <v/>
      </c>
      <c r="E43" s="308"/>
      <c r="F43" s="308"/>
      <c r="G43" s="308"/>
      <c r="H43" s="308"/>
      <c r="I43" s="308"/>
      <c r="J43" s="308"/>
      <c r="K43" s="93"/>
      <c r="L43" s="93"/>
      <c r="M43" s="93"/>
      <c r="N43" s="93"/>
      <c r="O43" s="93"/>
    </row>
    <row r="44" spans="1:16" s="95" customFormat="1" ht="4.5" customHeight="1" x14ac:dyDescent="0.25">
      <c r="D44" s="98" t="s">
        <v>626</v>
      </c>
      <c r="P44" s="150"/>
    </row>
    <row r="45" spans="1:16" s="95" customFormat="1" ht="21" customHeight="1" x14ac:dyDescent="0.3">
      <c r="A45" s="94"/>
      <c r="P45" s="150"/>
    </row>
    <row r="46" spans="1:16" s="97" customFormat="1" ht="22.5" customHeight="1" x14ac:dyDescent="0.25">
      <c r="A46" s="99" t="s">
        <v>629</v>
      </c>
      <c r="B46" s="309"/>
      <c r="C46" s="309"/>
      <c r="D46" s="309"/>
      <c r="E46" s="309"/>
      <c r="F46" s="99" t="s">
        <v>628</v>
      </c>
      <c r="G46" s="309"/>
      <c r="H46" s="309"/>
      <c r="I46" s="309"/>
      <c r="J46" s="309"/>
      <c r="P46" s="151"/>
    </row>
    <row r="47" spans="1:16" s="101" customFormat="1" ht="4.5" customHeight="1" x14ac:dyDescent="0.25">
      <c r="B47" s="98" t="s">
        <v>627</v>
      </c>
      <c r="G47" s="98" t="s">
        <v>625</v>
      </c>
      <c r="P47" s="152"/>
    </row>
  </sheetData>
  <sheetProtection algorithmName="SHA-512" hashValue="DJE2SU1yEXiA3tE3wlpoXSWrecIylcmxPE4bsbY5CzWSEQrcJ0Vf7t/JAQx9Dm83NW0l7alIzsOyOBJ6SwyScQ==" saltValue="X6jc04YxMA+/A1NNAGuukg==" spinCount="100000" sheet="1" scenarios="1"/>
  <mergeCells count="85">
    <mergeCell ref="M10:O10"/>
    <mergeCell ref="E11:F11"/>
    <mergeCell ref="J11:K11"/>
    <mergeCell ref="M11:O11"/>
    <mergeCell ref="E9:F9"/>
    <mergeCell ref="J9:K9"/>
    <mergeCell ref="A10:C11"/>
    <mergeCell ref="A7:C7"/>
    <mergeCell ref="E5:M5"/>
    <mergeCell ref="E6:M6"/>
    <mergeCell ref="E7:M7"/>
    <mergeCell ref="A5:C5"/>
    <mergeCell ref="A6:C6"/>
    <mergeCell ref="E8:F8"/>
    <mergeCell ref="J8:K8"/>
    <mergeCell ref="M8:O8"/>
    <mergeCell ref="A8:C8"/>
    <mergeCell ref="N5:O5"/>
    <mergeCell ref="N6:O7"/>
    <mergeCell ref="M9:O9"/>
    <mergeCell ref="E10:F10"/>
    <mergeCell ref="J10:K10"/>
    <mergeCell ref="C16:D16"/>
    <mergeCell ref="C17:D17"/>
    <mergeCell ref="A12:C12"/>
    <mergeCell ref="A13:C13"/>
    <mergeCell ref="A14:O14"/>
    <mergeCell ref="C15:D15"/>
    <mergeCell ref="E13:O13"/>
    <mergeCell ref="E12:O12"/>
    <mergeCell ref="F15:L15"/>
    <mergeCell ref="F16:L16"/>
    <mergeCell ref="F17:L17"/>
    <mergeCell ref="C20:D20"/>
    <mergeCell ref="C21:D21"/>
    <mergeCell ref="C18:D18"/>
    <mergeCell ref="C19:D19"/>
    <mergeCell ref="F18:L18"/>
    <mergeCell ref="F19:L19"/>
    <mergeCell ref="F20:L20"/>
    <mergeCell ref="F21:L21"/>
    <mergeCell ref="C24:D24"/>
    <mergeCell ref="C25:D25"/>
    <mergeCell ref="C22:D22"/>
    <mergeCell ref="C23:D23"/>
    <mergeCell ref="F22:L22"/>
    <mergeCell ref="F23:L23"/>
    <mergeCell ref="F24:L24"/>
    <mergeCell ref="F25:L25"/>
    <mergeCell ref="C28:D28"/>
    <mergeCell ref="C29:D29"/>
    <mergeCell ref="C26:D26"/>
    <mergeCell ref="C27:D27"/>
    <mergeCell ref="F26:L26"/>
    <mergeCell ref="F27:L27"/>
    <mergeCell ref="F28:L28"/>
    <mergeCell ref="F29:L29"/>
    <mergeCell ref="C32:D32"/>
    <mergeCell ref="C33:D33"/>
    <mergeCell ref="C30:D30"/>
    <mergeCell ref="C31:D31"/>
    <mergeCell ref="F30:L30"/>
    <mergeCell ref="F31:L31"/>
    <mergeCell ref="F32:L32"/>
    <mergeCell ref="F33:L33"/>
    <mergeCell ref="C36:D36"/>
    <mergeCell ref="C37:D37"/>
    <mergeCell ref="C34:D34"/>
    <mergeCell ref="C35:D35"/>
    <mergeCell ref="F34:L34"/>
    <mergeCell ref="F35:L35"/>
    <mergeCell ref="F36:L36"/>
    <mergeCell ref="F37:L37"/>
    <mergeCell ref="D43:J43"/>
    <mergeCell ref="B46:E46"/>
    <mergeCell ref="G46:J46"/>
    <mergeCell ref="F41:J41"/>
    <mergeCell ref="K41:M41"/>
    <mergeCell ref="C38:D38"/>
    <mergeCell ref="C39:D39"/>
    <mergeCell ref="C40:D40"/>
    <mergeCell ref="B41:D41"/>
    <mergeCell ref="F38:L38"/>
    <mergeCell ref="F39:L39"/>
    <mergeCell ref="F40:L40"/>
  </mergeCells>
  <conditionalFormatting sqref="D8:D11 G8:G11 I9:I11 L9:L11">
    <cfRule type="notContainsBlanks" dxfId="6" priority="11">
      <formula>LEN(TRIM(D8))&gt;0</formula>
    </cfRule>
  </conditionalFormatting>
  <conditionalFormatting sqref="E8:E9">
    <cfRule type="expression" dxfId="5" priority="10">
      <formula>D8&lt;&gt;""</formula>
    </cfRule>
  </conditionalFormatting>
  <conditionalFormatting sqref="E10:F11">
    <cfRule type="expression" dxfId="4" priority="8">
      <formula>D10&lt;&gt;""</formula>
    </cfRule>
  </conditionalFormatting>
  <conditionalFormatting sqref="F41:J41">
    <cfRule type="notContainsBlanks" dxfId="3" priority="1">
      <formula>LEN(TRIM(F41))&gt;0</formula>
    </cfRule>
  </conditionalFormatting>
  <conditionalFormatting sqref="H8:H11">
    <cfRule type="expression" dxfId="2" priority="5">
      <formula>G8&lt;&gt;""</formula>
    </cfRule>
  </conditionalFormatting>
  <conditionalFormatting sqref="J9:K11">
    <cfRule type="expression" dxfId="1" priority="6">
      <formula>I9&lt;&gt;""</formula>
    </cfRule>
  </conditionalFormatting>
  <conditionalFormatting sqref="M9:M11">
    <cfRule type="expression" dxfId="0" priority="9">
      <formula>L9&lt;&gt;""</formula>
    </cfRule>
  </conditionalFormatting>
  <pageMargins left="0.25" right="0.25" top="0.75" bottom="0.75" header="0.3" footer="0.3"/>
  <pageSetup paperSize="9" scale="63" orientation="portrait" r:id="rId1"/>
  <drawing r:id="rId2"/>
  <extLst>
    <ext xmlns:x14="http://schemas.microsoft.com/office/spreadsheetml/2009/9/main" uri="{78C0D931-6437-407d-A8EE-F0AAD7539E65}">
      <x14:conditionalFormattings>
        <x14:conditionalFormatting xmlns:xm="http://schemas.microsoft.com/office/excel/2006/main">
          <x14:cfRule type="expression" priority="3" id="{E4C41794-D568-45D0-A82A-6653F63643C3}">
            <xm:f>'Coach Card'!$AA$14=1</xm:f>
            <x14:dxf>
              <font>
                <color theme="0"/>
              </font>
              <fill>
                <patternFill>
                  <bgColor theme="0"/>
                </patternFill>
              </fill>
            </x14:dxf>
          </x14:cfRule>
          <xm:sqref>A41:E41</xm:sqref>
        </x14:conditionalFormatting>
        <x14:conditionalFormatting xmlns:xm="http://schemas.microsoft.com/office/excel/2006/main">
          <x14:cfRule type="expression" priority="10998" id="{52934A8C-E42B-4320-B848-36B1E24584AA}">
            <xm:f>'Coach Card'!$BU$18&gt;'Coach Card'!$AA$14</xm:f>
            <x14:dxf>
              <fill>
                <patternFill>
                  <bgColor theme="0" tint="-0.14996795556505021"/>
                </patternFill>
              </fill>
            </x14:dxf>
          </x14:cfRule>
          <xm:sqref>B41:D41</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Blad4"/>
  <dimension ref="A1:CG345"/>
  <sheetViews>
    <sheetView topLeftCell="A6" zoomScaleNormal="100" workbookViewId="0">
      <selection activeCell="Q8" sqref="Q8"/>
    </sheetView>
  </sheetViews>
  <sheetFormatPr defaultRowHeight="14.4" x14ac:dyDescent="0.3"/>
  <cols>
    <col min="1" max="1" width="26.33203125" bestFit="1" customWidth="1"/>
    <col min="2" max="2" width="4" customWidth="1"/>
    <col min="3" max="3" width="13.44140625" bestFit="1" customWidth="1"/>
    <col min="4" max="4" width="4.5546875" customWidth="1"/>
    <col min="5" max="5" width="30.6640625" bestFit="1" customWidth="1"/>
    <col min="6" max="6" width="9.109375" style="1"/>
    <col min="7" max="7" width="48.5546875" bestFit="1" customWidth="1"/>
    <col min="11" max="11" width="12" bestFit="1" customWidth="1"/>
    <col min="12" max="16" width="12" customWidth="1"/>
    <col min="17" max="17" width="10.5546875" bestFit="1" customWidth="1"/>
    <col min="18" max="18" width="10.5546875" customWidth="1"/>
    <col min="19" max="19" width="12.44140625" bestFit="1" customWidth="1"/>
    <col min="22" max="22" width="9.109375" style="1"/>
    <col min="23" max="23" width="9.109375" style="5"/>
    <col min="57" max="57" width="9.109375" customWidth="1"/>
    <col min="63" max="63" width="9.109375" style="8"/>
    <col min="68" max="68" width="10.88671875" customWidth="1"/>
    <col min="83" max="83" width="37.88671875" bestFit="1" customWidth="1"/>
    <col min="84" max="84" width="33.109375" bestFit="1" customWidth="1"/>
    <col min="85" max="85" width="5.5546875" bestFit="1" customWidth="1"/>
  </cols>
  <sheetData>
    <row r="1" spans="1:85" ht="15" x14ac:dyDescent="0.25">
      <c r="A1" t="s">
        <v>8</v>
      </c>
      <c r="C1" t="s">
        <v>13</v>
      </c>
      <c r="E1" t="s">
        <v>15</v>
      </c>
      <c r="F1" s="1" t="s">
        <v>49</v>
      </c>
      <c r="G1" t="s">
        <v>23</v>
      </c>
      <c r="H1" s="1" t="s">
        <v>20</v>
      </c>
      <c r="I1" s="1" t="s">
        <v>19</v>
      </c>
      <c r="J1" s="1" t="s">
        <v>12</v>
      </c>
      <c r="K1" s="1" t="s">
        <v>30</v>
      </c>
      <c r="L1" s="1" t="s">
        <v>32</v>
      </c>
      <c r="M1" s="1" t="s">
        <v>34</v>
      </c>
      <c r="N1" s="1" t="s">
        <v>33</v>
      </c>
      <c r="O1" s="1" t="s">
        <v>35</v>
      </c>
      <c r="P1" s="1" t="s">
        <v>1670</v>
      </c>
      <c r="Q1" s="1" t="s">
        <v>31</v>
      </c>
      <c r="R1" s="1" t="s">
        <v>1671</v>
      </c>
      <c r="S1" s="1" t="s">
        <v>1818</v>
      </c>
      <c r="U1" s="1" t="s">
        <v>41</v>
      </c>
      <c r="V1" s="1" t="s">
        <v>1666</v>
      </c>
      <c r="BE1" s="350"/>
      <c r="BF1" s="350"/>
      <c r="BL1" s="351" t="s">
        <v>117</v>
      </c>
      <c r="BM1" s="351"/>
      <c r="BN1" s="352" t="s">
        <v>121</v>
      </c>
      <c r="BO1" s="352"/>
      <c r="BP1" s="62" t="s">
        <v>125</v>
      </c>
      <c r="BQ1" s="62"/>
      <c r="BR1" s="349" t="s">
        <v>132</v>
      </c>
      <c r="BS1" s="349"/>
      <c r="BU1" t="s">
        <v>562</v>
      </c>
      <c r="BV1" t="s">
        <v>563</v>
      </c>
      <c r="BW1" t="s">
        <v>564</v>
      </c>
      <c r="BX1" t="s">
        <v>565</v>
      </c>
      <c r="BY1" t="s">
        <v>566</v>
      </c>
      <c r="BZ1" t="s">
        <v>567</v>
      </c>
      <c r="CA1" t="s">
        <v>568</v>
      </c>
      <c r="CB1" t="s">
        <v>569</v>
      </c>
      <c r="CC1" t="s">
        <v>570</v>
      </c>
      <c r="CE1" t="s">
        <v>639</v>
      </c>
      <c r="CF1" t="s">
        <v>1058</v>
      </c>
      <c r="CG1" t="s">
        <v>850</v>
      </c>
    </row>
    <row r="2" spans="1:85" ht="15" x14ac:dyDescent="0.25">
      <c r="H2" s="1"/>
      <c r="I2" s="1"/>
      <c r="J2" s="1"/>
      <c r="K2" s="1"/>
      <c r="L2" s="1"/>
      <c r="M2" s="1"/>
      <c r="N2" s="1"/>
      <c r="O2" s="1"/>
      <c r="P2" s="1"/>
      <c r="Q2" s="1"/>
      <c r="R2" s="1"/>
      <c r="S2" s="1"/>
      <c r="BL2" s="59" t="s">
        <v>113</v>
      </c>
      <c r="BM2" s="59" t="s">
        <v>114</v>
      </c>
      <c r="BN2" s="60" t="s">
        <v>122</v>
      </c>
      <c r="BO2" s="60" t="s">
        <v>123</v>
      </c>
      <c r="BP2" s="62" t="s">
        <v>126</v>
      </c>
      <c r="BQ2" s="62" t="s">
        <v>127</v>
      </c>
      <c r="BR2" s="64" t="s">
        <v>133</v>
      </c>
      <c r="BS2" s="64" t="s">
        <v>134</v>
      </c>
      <c r="BU2" t="str">
        <f>IF('Coach Card'!E20="H",HybridDD!M3,IF('Coach Card'!E20=3,TREDD!B3,IF('Coach Card'!E20="A",BL3,IF('Coach Card'!E20="B",BN3,IF('Coach Card'!E20="C",BP3,IF('Coach Card'!E20="P",BR3,IF('Coach Card'!H19="A-Pair",AcroDD!Q5,"")))))))</f>
        <v/>
      </c>
      <c r="CE2" t="s">
        <v>640</v>
      </c>
      <c r="CF2" t="s">
        <v>1059</v>
      </c>
      <c r="CG2" t="s">
        <v>851</v>
      </c>
    </row>
    <row r="3" spans="1:85" ht="15" x14ac:dyDescent="0.25">
      <c r="A3" t="s">
        <v>1338</v>
      </c>
      <c r="C3" t="s">
        <v>14</v>
      </c>
      <c r="D3" t="e">
        <f>'Coach Card'!$BS$15*10+1</f>
        <v>#VALUE!</v>
      </c>
      <c r="E3" t="e">
        <f t="shared" ref="E3:E11" ca="1" si="0">IF(OFFSET($D$1,D3+1,1)&lt;&gt;"",OFFSET($D$1,D3+1,1),"")</f>
        <v>#VALUE!</v>
      </c>
      <c r="F3" s="2">
        <v>1.0013888888888889</v>
      </c>
      <c r="G3" t="s">
        <v>1327</v>
      </c>
      <c r="H3" s="1"/>
      <c r="I3" s="1">
        <v>4</v>
      </c>
      <c r="J3" s="1"/>
      <c r="K3" s="1"/>
      <c r="L3" s="1"/>
      <c r="M3" s="1"/>
      <c r="N3" s="1"/>
      <c r="O3" s="1"/>
      <c r="P3" s="1"/>
      <c r="Q3" s="1"/>
      <c r="R3" s="1"/>
      <c r="S3" s="1"/>
      <c r="T3">
        <f>SUM(H3:S3)</f>
        <v>4</v>
      </c>
      <c r="U3">
        <v>1</v>
      </c>
      <c r="V3" s="1" t="s">
        <v>75</v>
      </c>
      <c r="BE3" s="1"/>
      <c r="BF3" s="1"/>
      <c r="BK3" s="8">
        <v>1</v>
      </c>
      <c r="BL3" s="59" t="s">
        <v>115</v>
      </c>
      <c r="BM3" s="59">
        <v>0</v>
      </c>
      <c r="BN3" s="60" t="s">
        <v>119</v>
      </c>
      <c r="BO3" s="60">
        <v>0</v>
      </c>
      <c r="BP3" s="62" t="s">
        <v>128</v>
      </c>
      <c r="BQ3" s="62">
        <v>0</v>
      </c>
      <c r="BR3" s="64" t="s">
        <v>135</v>
      </c>
      <c r="BS3" s="64">
        <v>0</v>
      </c>
      <c r="BU3" t="str">
        <f>IF('Coach Card'!E21="H",HybridDD!M4,IF('Coach Card'!E21=3,TREDD!B4,IF('Coach Card'!E21="A",BL4,IF('Coach Card'!E21="B",BN4,IF('Coach Card'!E21="C",BP4,IF('Coach Card'!E21="P",BR4,IF(LEFT('Coach Card'!H20,6)="A-Pair",AcroDD!Q6,"")))))))</f>
        <v/>
      </c>
      <c r="CE3" t="s">
        <v>641</v>
      </c>
      <c r="CF3" t="s">
        <v>1060</v>
      </c>
      <c r="CG3" t="s">
        <v>852</v>
      </c>
    </row>
    <row r="4" spans="1:85" ht="15" x14ac:dyDescent="0.25">
      <c r="A4" t="s">
        <v>1339</v>
      </c>
      <c r="C4" t="s">
        <v>1346</v>
      </c>
      <c r="D4" t="e">
        <f>'Coach Card'!$BS$15*10+2</f>
        <v>#VALUE!</v>
      </c>
      <c r="E4" t="e">
        <f t="shared" ca="1" si="0"/>
        <v>#VALUE!</v>
      </c>
      <c r="F4" s="2">
        <v>1.0013888888888889</v>
      </c>
      <c r="G4" t="s">
        <v>24</v>
      </c>
      <c r="H4" s="1"/>
      <c r="I4" s="1">
        <v>4</v>
      </c>
      <c r="J4" s="1"/>
      <c r="K4" s="1"/>
      <c r="L4" s="1"/>
      <c r="M4" s="1"/>
      <c r="N4" s="1"/>
      <c r="O4" s="1"/>
      <c r="P4" s="1"/>
      <c r="Q4" s="1"/>
      <c r="R4" s="1"/>
      <c r="S4" s="1"/>
      <c r="T4">
        <f t="shared" ref="T4:T38" si="1">SUM(H4:S4)</f>
        <v>4</v>
      </c>
      <c r="U4">
        <v>1</v>
      </c>
      <c r="V4" s="1" t="s">
        <v>75</v>
      </c>
      <c r="BE4" s="1"/>
      <c r="BF4" s="1"/>
      <c r="BL4" s="59" t="s">
        <v>116</v>
      </c>
      <c r="BM4" s="59">
        <v>0</v>
      </c>
      <c r="BN4" s="60" t="s">
        <v>120</v>
      </c>
      <c r="BO4" s="60">
        <v>0</v>
      </c>
      <c r="BP4" s="62" t="s">
        <v>129</v>
      </c>
      <c r="BQ4" s="62">
        <v>0</v>
      </c>
      <c r="BR4" s="64" t="s">
        <v>136</v>
      </c>
      <c r="BS4" s="64">
        <v>0</v>
      </c>
      <c r="BU4" t="str">
        <f>IF('Coach Card'!E22="H",HybridDD!M5,IF('Coach Card'!E22=3,TREDD!B5,IF('Coach Card'!E22="A",BL5,IF('Coach Card'!E22="B",BN5,IF('Coach Card'!E22="C",BP5,IF('Coach Card'!E22="P",BR5,IF('Coach Card'!H21="A-Pair",AcroDD!Q7,"")))))))</f>
        <v/>
      </c>
      <c r="CE4" t="s">
        <v>642</v>
      </c>
      <c r="CF4" t="s">
        <v>1215</v>
      </c>
      <c r="CG4" t="s">
        <v>853</v>
      </c>
    </row>
    <row r="5" spans="1:85" ht="15" x14ac:dyDescent="0.25">
      <c r="A5" t="s">
        <v>3</v>
      </c>
      <c r="C5" t="s">
        <v>1347</v>
      </c>
      <c r="D5" t="e">
        <f>'Coach Card'!$BS$15*10+3</f>
        <v>#VALUE!</v>
      </c>
      <c r="E5" t="e">
        <f t="shared" ca="1" si="0"/>
        <v>#VALUE!</v>
      </c>
      <c r="F5" s="2">
        <v>1.0017361111111112</v>
      </c>
      <c r="G5" t="s">
        <v>1328</v>
      </c>
      <c r="H5" s="1"/>
      <c r="I5" s="1">
        <v>4</v>
      </c>
      <c r="J5" s="1">
        <v>1</v>
      </c>
      <c r="K5" s="1"/>
      <c r="L5" s="1"/>
      <c r="M5" s="1"/>
      <c r="N5" s="1"/>
      <c r="O5" s="1"/>
      <c r="P5" s="1"/>
      <c r="Q5" s="1"/>
      <c r="R5" s="1"/>
      <c r="S5" s="1"/>
      <c r="T5">
        <f t="shared" si="1"/>
        <v>5</v>
      </c>
      <c r="U5">
        <v>2</v>
      </c>
      <c r="V5" s="1" t="s">
        <v>76</v>
      </c>
      <c r="BE5" s="1"/>
      <c r="BF5" s="1"/>
      <c r="BL5" s="59"/>
      <c r="BM5" s="59"/>
      <c r="BN5" s="60"/>
      <c r="BO5" s="60"/>
      <c r="BP5" s="62" t="s">
        <v>130</v>
      </c>
      <c r="BQ5" s="62">
        <v>0</v>
      </c>
      <c r="BR5" s="64"/>
      <c r="BS5" s="64"/>
      <c r="BU5" t="str">
        <f>IF('Coach Card'!E23="H",HybridDD!M6,IF('Coach Card'!E23=3,TREDD!B6,IF('Coach Card'!E23="A",BL6,IF('Coach Card'!E23="B",BN6,IF('Coach Card'!E23="C",BP6,IF('Coach Card'!E23="P",BR6,IF('Coach Card'!H22="A-Pair",AcroDD!Q8,"")))))))</f>
        <v/>
      </c>
      <c r="CE5" t="s">
        <v>643</v>
      </c>
      <c r="CF5" t="s">
        <v>1061</v>
      </c>
      <c r="CG5" t="s">
        <v>854</v>
      </c>
    </row>
    <row r="6" spans="1:85" ht="15" x14ac:dyDescent="0.25">
      <c r="A6" t="s">
        <v>9</v>
      </c>
      <c r="C6" t="s">
        <v>5</v>
      </c>
      <c r="D6" t="e">
        <f>'Coach Card'!$BS$15*10+4</f>
        <v>#VALUE!</v>
      </c>
      <c r="E6" t="e">
        <f t="shared" ca="1" si="0"/>
        <v>#VALUE!</v>
      </c>
      <c r="F6" s="2">
        <v>1.0017361111111112</v>
      </c>
      <c r="G6" t="s">
        <v>25</v>
      </c>
      <c r="H6" s="1"/>
      <c r="I6" s="1">
        <v>3</v>
      </c>
      <c r="J6" s="1">
        <v>2</v>
      </c>
      <c r="K6" s="1"/>
      <c r="L6" s="1"/>
      <c r="M6" s="1"/>
      <c r="N6" s="1"/>
      <c r="O6" s="1"/>
      <c r="P6" s="1"/>
      <c r="Q6" s="1">
        <v>3</v>
      </c>
      <c r="R6" s="1"/>
      <c r="S6" s="1"/>
      <c r="T6">
        <f t="shared" si="1"/>
        <v>8</v>
      </c>
      <c r="U6">
        <v>3</v>
      </c>
      <c r="V6" s="1" t="s">
        <v>77</v>
      </c>
      <c r="BE6" s="1"/>
      <c r="BF6" s="1"/>
      <c r="BL6" s="59"/>
      <c r="BM6" s="59"/>
      <c r="BN6" s="60"/>
      <c r="BO6" s="60"/>
      <c r="BP6" s="62"/>
      <c r="BQ6" s="62"/>
      <c r="BR6" s="64"/>
      <c r="BS6" s="64"/>
      <c r="BU6" t="str">
        <f>IF('Coach Card'!E24="H",HybridDD!M7,IF('Coach Card'!E24=3,TREDD!B7,IF('Coach Card'!E24="A",BL7,IF('Coach Card'!E24="B",BN7,IF('Coach Card'!E24="C",BP7,IF('Coach Card'!E24="P",BR7,IF('Coach Card'!H23="A-Pair",AcroDD!Q9,"")))))))</f>
        <v/>
      </c>
      <c r="CE6" t="s">
        <v>644</v>
      </c>
      <c r="CF6" t="s">
        <v>1062</v>
      </c>
      <c r="CG6" t="s">
        <v>855</v>
      </c>
    </row>
    <row r="7" spans="1:85" ht="15" x14ac:dyDescent="0.25">
      <c r="A7" t="s">
        <v>1340</v>
      </c>
      <c r="C7" t="s">
        <v>1348</v>
      </c>
      <c r="D7" t="e">
        <f>'Coach Card'!$BS$15*10+5</f>
        <v>#VALUE!</v>
      </c>
      <c r="E7" t="e">
        <f t="shared" ca="1" si="0"/>
        <v>#VALUE!</v>
      </c>
      <c r="F7" s="2">
        <v>1.0020833333333334</v>
      </c>
      <c r="G7" t="s">
        <v>1329</v>
      </c>
      <c r="H7" s="1"/>
      <c r="I7" s="1">
        <v>4</v>
      </c>
      <c r="J7" s="1">
        <v>3</v>
      </c>
      <c r="K7" s="1"/>
      <c r="L7" s="1"/>
      <c r="M7" s="1"/>
      <c r="N7" s="1"/>
      <c r="O7" s="1"/>
      <c r="P7" s="1"/>
      <c r="Q7" s="1"/>
      <c r="R7" s="1"/>
      <c r="S7" s="1"/>
      <c r="T7">
        <f t="shared" si="1"/>
        <v>7</v>
      </c>
      <c r="U7">
        <v>12</v>
      </c>
      <c r="V7" s="1" t="s">
        <v>78</v>
      </c>
      <c r="BE7" s="1"/>
      <c r="BF7" s="1"/>
      <c r="BL7" s="59"/>
      <c r="BM7" s="59"/>
      <c r="BN7" s="60"/>
      <c r="BO7" s="60"/>
      <c r="BP7" s="62"/>
      <c r="BQ7" s="62"/>
      <c r="BR7" s="64"/>
      <c r="BS7" s="64"/>
      <c r="BU7" t="str">
        <f>IF('Coach Card'!E25="H",HybridDD!M8,IF('Coach Card'!E25=3,TREDD!B8,IF('Coach Card'!E25="A",BL8,IF('Coach Card'!E25="B",BN8,IF('Coach Card'!E25="C",BP8,IF('Coach Card'!E25="P",BR8,IF('Coach Card'!H24="A-Pair",AcroDD!Q10,"")))))))</f>
        <v/>
      </c>
      <c r="CE7" t="s">
        <v>645</v>
      </c>
      <c r="CF7" t="s">
        <v>1063</v>
      </c>
      <c r="CG7" t="s">
        <v>856</v>
      </c>
    </row>
    <row r="8" spans="1:85" ht="15" x14ac:dyDescent="0.25">
      <c r="A8" t="s">
        <v>1341</v>
      </c>
      <c r="D8" t="e">
        <f>'Coach Card'!$BS$15*10+6</f>
        <v>#VALUE!</v>
      </c>
      <c r="E8" t="e">
        <f t="shared" ca="1" si="0"/>
        <v>#VALUE!</v>
      </c>
      <c r="F8" s="2">
        <v>1.0020833333333334</v>
      </c>
      <c r="G8" t="s">
        <v>1330</v>
      </c>
      <c r="H8" s="1"/>
      <c r="I8" s="1"/>
      <c r="J8" s="1">
        <v>3</v>
      </c>
      <c r="K8" s="1"/>
      <c r="L8" s="1"/>
      <c r="M8" s="1"/>
      <c r="N8" s="1">
        <v>1</v>
      </c>
      <c r="O8" s="1">
        <v>1</v>
      </c>
      <c r="P8" s="1">
        <v>2</v>
      </c>
      <c r="Q8" s="1"/>
      <c r="R8" s="1">
        <v>1</v>
      </c>
      <c r="S8" s="1"/>
      <c r="T8">
        <f t="shared" si="1"/>
        <v>8</v>
      </c>
      <c r="U8">
        <v>4</v>
      </c>
      <c r="V8" s="1" t="s">
        <v>78</v>
      </c>
      <c r="BE8" s="1"/>
      <c r="BF8" s="1"/>
      <c r="BL8" s="59"/>
      <c r="BM8" s="59"/>
      <c r="BN8" s="60"/>
      <c r="BO8" s="60"/>
      <c r="BP8" s="62"/>
      <c r="BQ8" s="62"/>
      <c r="BR8" s="64"/>
      <c r="BS8" s="64"/>
      <c r="BU8" t="str">
        <f>IF('Coach Card'!E26="H",HybridDD!M9,IF('Coach Card'!E26=3,TREDD!B9,IF('Coach Card'!E26="A",BL9,IF('Coach Card'!E26="B",BN9,IF('Coach Card'!E26="C",BP9,IF('Coach Card'!E26="P",BR9,IF('Coach Card'!H25="A-Pair",AcroDD!Q11,"")))))))</f>
        <v/>
      </c>
      <c r="CE8" t="s">
        <v>646</v>
      </c>
      <c r="CF8" t="s">
        <v>1216</v>
      </c>
      <c r="CG8" t="s">
        <v>857</v>
      </c>
    </row>
    <row r="9" spans="1:85" ht="15" x14ac:dyDescent="0.25">
      <c r="A9" t="s">
        <v>10</v>
      </c>
      <c r="D9" t="e">
        <f>'Coach Card'!$BS$15*10+7</f>
        <v>#VALUE!</v>
      </c>
      <c r="E9" t="e">
        <f t="shared" ca="1" si="0"/>
        <v>#VALUE!</v>
      </c>
      <c r="F9" s="2">
        <v>1.0013888888888889</v>
      </c>
      <c r="G9" t="s">
        <v>1349</v>
      </c>
      <c r="H9" s="1"/>
      <c r="I9" s="1">
        <v>5</v>
      </c>
      <c r="J9" s="1"/>
      <c r="K9" s="1"/>
      <c r="L9" s="1"/>
      <c r="M9" s="1"/>
      <c r="N9" s="1"/>
      <c r="O9" s="1"/>
      <c r="P9" s="1"/>
      <c r="Q9" s="1"/>
      <c r="R9" s="1"/>
      <c r="S9" s="1"/>
      <c r="T9">
        <f t="shared" si="1"/>
        <v>5</v>
      </c>
      <c r="U9">
        <v>1</v>
      </c>
      <c r="V9" s="1" t="s">
        <v>75</v>
      </c>
      <c r="BE9" s="1"/>
      <c r="BF9" s="1"/>
      <c r="BL9" s="59"/>
      <c r="BM9" s="59"/>
      <c r="BN9" s="60"/>
      <c r="BO9" s="60"/>
      <c r="BP9" s="62"/>
      <c r="BQ9" s="62"/>
      <c r="BR9" s="64"/>
      <c r="BS9" s="64"/>
      <c r="BU9" t="str">
        <f>IF('Coach Card'!E27="H",HybridDD!M10,IF('Coach Card'!E27=3,TREDD!B10,IF('Coach Card'!E27="A",BL10,IF('Coach Card'!E27="B",BN10,IF('Coach Card'!E27="C",BP10,IF('Coach Card'!E27="P",BR10,IF('Coach Card'!H26="A-Pair",AcroDD!Q12,"")))))))</f>
        <v/>
      </c>
      <c r="CE9" t="s">
        <v>647</v>
      </c>
      <c r="CF9" t="s">
        <v>1064</v>
      </c>
      <c r="CG9" t="s">
        <v>858</v>
      </c>
    </row>
    <row r="10" spans="1:85" ht="15" x14ac:dyDescent="0.25">
      <c r="A10" t="s">
        <v>11</v>
      </c>
      <c r="C10" t="s">
        <v>14</v>
      </c>
      <c r="D10" t="e">
        <f>'Coach Card'!$BS$15*10+8</f>
        <v>#VALUE!</v>
      </c>
      <c r="E10" t="e">
        <f t="shared" ca="1" si="0"/>
        <v>#VALUE!</v>
      </c>
      <c r="F10" s="2">
        <v>1.0013888888888889</v>
      </c>
      <c r="G10" t="s">
        <v>1350</v>
      </c>
      <c r="H10" s="1"/>
      <c r="I10" s="1">
        <v>5</v>
      </c>
      <c r="J10" s="1"/>
      <c r="K10" s="1"/>
      <c r="L10" s="1"/>
      <c r="M10" s="1"/>
      <c r="N10" s="1"/>
      <c r="O10" s="1"/>
      <c r="P10" s="1"/>
      <c r="Q10" s="1"/>
      <c r="R10" s="1"/>
      <c r="S10" s="1"/>
      <c r="T10">
        <f t="shared" si="1"/>
        <v>5</v>
      </c>
      <c r="U10">
        <v>1</v>
      </c>
      <c r="V10" s="1" t="s">
        <v>75</v>
      </c>
      <c r="BE10" s="1"/>
      <c r="BF10" s="1"/>
      <c r="BK10" s="8">
        <v>2</v>
      </c>
      <c r="BL10" s="59" t="s">
        <v>118</v>
      </c>
      <c r="BM10" s="59">
        <v>0.5</v>
      </c>
      <c r="BN10" s="60" t="s">
        <v>124</v>
      </c>
      <c r="BO10" s="60">
        <v>1.05</v>
      </c>
      <c r="BP10" s="62" t="s">
        <v>131</v>
      </c>
      <c r="BQ10" s="62">
        <v>1.7</v>
      </c>
      <c r="BR10" s="64" t="s">
        <v>137</v>
      </c>
      <c r="BS10" s="64">
        <v>1.1000000000000001</v>
      </c>
      <c r="BU10" t="str">
        <f>IF('Coach Card'!E28="H",HybridDD!M11,IF('Coach Card'!E28=3,TREDD!B11,IF('Coach Card'!E28="A",BL11,IF('Coach Card'!E28="B",BN11,IF('Coach Card'!E28="C",BP11,IF('Coach Card'!E28="P",BR11,IF('Coach Card'!H27="A-Pair",AcroDD!Q13,"")))))))</f>
        <v/>
      </c>
      <c r="BX10" s="77"/>
      <c r="CE10" t="s">
        <v>648</v>
      </c>
      <c r="CF10" t="s">
        <v>1065</v>
      </c>
      <c r="CG10" t="s">
        <v>859</v>
      </c>
    </row>
    <row r="11" spans="1:85" x14ac:dyDescent="0.3">
      <c r="A11" t="s">
        <v>1342</v>
      </c>
      <c r="C11" t="s">
        <v>1346</v>
      </c>
      <c r="D11" t="e">
        <f>'Coach Card'!$BS$15*10+9</f>
        <v>#VALUE!</v>
      </c>
      <c r="E11" t="e">
        <f t="shared" ca="1" si="0"/>
        <v>#VALUE!</v>
      </c>
      <c r="F11" s="2">
        <v>1.0017361111111112</v>
      </c>
      <c r="G11" t="s">
        <v>1351</v>
      </c>
      <c r="H11" s="1"/>
      <c r="I11" s="1">
        <v>5</v>
      </c>
      <c r="J11" s="1">
        <v>1</v>
      </c>
      <c r="K11" s="1"/>
      <c r="L11" s="1"/>
      <c r="M11" s="1"/>
      <c r="N11" s="1"/>
      <c r="O11" s="1"/>
      <c r="P11" s="1"/>
      <c r="Q11" s="1"/>
      <c r="R11" s="1"/>
      <c r="S11" s="1"/>
      <c r="T11">
        <f t="shared" si="1"/>
        <v>6</v>
      </c>
      <c r="U11">
        <v>2</v>
      </c>
      <c r="V11" s="1" t="s">
        <v>76</v>
      </c>
      <c r="BE11" s="1"/>
      <c r="BF11" s="1"/>
      <c r="BL11" s="59" t="s">
        <v>400</v>
      </c>
      <c r="BM11" s="59">
        <v>0.9</v>
      </c>
      <c r="BN11" s="60" t="s">
        <v>195</v>
      </c>
      <c r="BO11" s="60">
        <v>0.7</v>
      </c>
      <c r="BP11" s="63" t="s">
        <v>163</v>
      </c>
      <c r="BQ11" s="62">
        <v>1.65</v>
      </c>
      <c r="BR11" s="64" t="s">
        <v>138</v>
      </c>
      <c r="BS11" s="64">
        <v>0.85</v>
      </c>
      <c r="CE11" t="s">
        <v>649</v>
      </c>
      <c r="CF11" t="s">
        <v>1066</v>
      </c>
      <c r="CG11" t="s">
        <v>860</v>
      </c>
    </row>
    <row r="12" spans="1:85" ht="15" x14ac:dyDescent="0.25">
      <c r="A12" t="s">
        <v>1343</v>
      </c>
      <c r="F12" s="2">
        <v>1.0017361111111112</v>
      </c>
      <c r="G12" t="s">
        <v>1352</v>
      </c>
      <c r="H12" s="1"/>
      <c r="I12" s="1">
        <v>3</v>
      </c>
      <c r="J12" s="1">
        <v>2</v>
      </c>
      <c r="K12" s="1"/>
      <c r="L12" s="1"/>
      <c r="M12" s="1"/>
      <c r="N12" s="1"/>
      <c r="O12" s="1"/>
      <c r="P12" s="1"/>
      <c r="Q12" s="1">
        <v>3</v>
      </c>
      <c r="R12" s="1"/>
      <c r="S12" s="1"/>
      <c r="T12">
        <f t="shared" si="1"/>
        <v>8</v>
      </c>
      <c r="U12">
        <v>3</v>
      </c>
      <c r="V12" s="1" t="s">
        <v>77</v>
      </c>
      <c r="BE12" s="1"/>
      <c r="BF12" s="1"/>
      <c r="BL12" s="59" t="s">
        <v>401</v>
      </c>
      <c r="BM12" s="59">
        <v>1.25</v>
      </c>
      <c r="BN12" s="60" t="s">
        <v>196</v>
      </c>
      <c r="BO12" s="60">
        <v>1.35</v>
      </c>
      <c r="BP12" s="63" t="s">
        <v>161</v>
      </c>
      <c r="BQ12" s="62">
        <v>1.55</v>
      </c>
      <c r="BR12" s="64" t="s">
        <v>139</v>
      </c>
      <c r="BS12" s="64">
        <v>1.1499999999999999</v>
      </c>
      <c r="CE12" t="s">
        <v>650</v>
      </c>
      <c r="CF12" t="s">
        <v>1067</v>
      </c>
      <c r="CG12" t="s">
        <v>861</v>
      </c>
    </row>
    <row r="13" spans="1:85" x14ac:dyDescent="0.3">
      <c r="A13" t="s">
        <v>1344</v>
      </c>
      <c r="D13">
        <v>1</v>
      </c>
      <c r="E13" t="s">
        <v>18</v>
      </c>
      <c r="F13" s="2">
        <v>1.0020833333333334</v>
      </c>
      <c r="G13" t="s">
        <v>1353</v>
      </c>
      <c r="H13" s="1"/>
      <c r="I13" s="1">
        <v>5</v>
      </c>
      <c r="J13" s="1">
        <v>3</v>
      </c>
      <c r="K13" s="1"/>
      <c r="L13" s="1"/>
      <c r="M13" s="1"/>
      <c r="N13" s="1"/>
      <c r="O13" s="1"/>
      <c r="P13" s="1"/>
      <c r="Q13" s="1"/>
      <c r="R13" s="1"/>
      <c r="S13" s="1"/>
      <c r="T13">
        <f t="shared" si="1"/>
        <v>8</v>
      </c>
      <c r="U13">
        <v>12</v>
      </c>
      <c r="V13" s="1" t="s">
        <v>78</v>
      </c>
      <c r="BF13" s="7"/>
      <c r="BL13" s="59" t="s">
        <v>402</v>
      </c>
      <c r="BM13" s="59">
        <v>1</v>
      </c>
      <c r="BN13" s="60" t="s">
        <v>197</v>
      </c>
      <c r="BO13" s="60">
        <v>0.9</v>
      </c>
      <c r="BP13" s="63" t="s">
        <v>164</v>
      </c>
      <c r="BQ13" s="62">
        <v>1.55</v>
      </c>
      <c r="BR13" s="64" t="s">
        <v>140</v>
      </c>
      <c r="BS13" s="64">
        <v>1.3</v>
      </c>
      <c r="CE13" t="s">
        <v>651</v>
      </c>
      <c r="CF13" t="s">
        <v>1068</v>
      </c>
      <c r="CG13" t="s">
        <v>862</v>
      </c>
    </row>
    <row r="14" spans="1:85" x14ac:dyDescent="0.3">
      <c r="A14" t="s">
        <v>1345</v>
      </c>
      <c r="C14" t="s">
        <v>1347</v>
      </c>
      <c r="D14">
        <v>1</v>
      </c>
      <c r="E14" t="s">
        <v>1661</v>
      </c>
      <c r="F14" s="2">
        <v>1.0020833333333334</v>
      </c>
      <c r="G14" t="s">
        <v>1354</v>
      </c>
      <c r="H14" s="1"/>
      <c r="I14" s="1"/>
      <c r="J14" s="1">
        <v>4</v>
      </c>
      <c r="K14" s="1"/>
      <c r="L14" s="1"/>
      <c r="M14" s="1"/>
      <c r="N14" s="1">
        <v>1</v>
      </c>
      <c r="O14" s="1">
        <v>1</v>
      </c>
      <c r="P14" s="1">
        <v>2</v>
      </c>
      <c r="Q14" s="1"/>
      <c r="R14" s="1">
        <v>1</v>
      </c>
      <c r="S14" s="1"/>
      <c r="T14">
        <f t="shared" si="1"/>
        <v>9</v>
      </c>
      <c r="U14">
        <v>4</v>
      </c>
      <c r="V14" s="1" t="s">
        <v>78</v>
      </c>
      <c r="BF14" s="7"/>
      <c r="BL14" s="59" t="s">
        <v>153</v>
      </c>
      <c r="BM14" s="59">
        <v>1.35</v>
      </c>
      <c r="BN14" s="60" t="s">
        <v>198</v>
      </c>
      <c r="BO14" s="60">
        <v>1.1499999999999999</v>
      </c>
      <c r="BP14" s="63" t="s">
        <v>165</v>
      </c>
      <c r="BQ14" s="62">
        <v>1.75</v>
      </c>
      <c r="BR14" s="64" t="s">
        <v>141</v>
      </c>
      <c r="BS14" s="64">
        <v>1.4</v>
      </c>
      <c r="CE14" t="s">
        <v>652</v>
      </c>
      <c r="CF14" t="s">
        <v>1069</v>
      </c>
      <c r="CG14" t="s">
        <v>863</v>
      </c>
    </row>
    <row r="15" spans="1:85" x14ac:dyDescent="0.3">
      <c r="C15" t="s">
        <v>5</v>
      </c>
      <c r="F15" s="2">
        <v>1.0013888888888889</v>
      </c>
      <c r="G15" t="s">
        <v>1355</v>
      </c>
      <c r="H15" s="1">
        <v>5</v>
      </c>
      <c r="I15" s="1">
        <v>1</v>
      </c>
      <c r="J15" s="1"/>
      <c r="K15" s="1"/>
      <c r="L15" s="1"/>
      <c r="M15" s="1"/>
      <c r="N15" s="1"/>
      <c r="O15" s="1"/>
      <c r="P15" s="1"/>
      <c r="Q15" s="1"/>
      <c r="R15" s="1"/>
      <c r="S15" s="1"/>
      <c r="T15">
        <f t="shared" si="1"/>
        <v>6</v>
      </c>
      <c r="U15">
        <v>6</v>
      </c>
      <c r="V15" s="1" t="s">
        <v>75</v>
      </c>
      <c r="BF15" s="7"/>
      <c r="BL15" s="59" t="s">
        <v>403</v>
      </c>
      <c r="BM15" s="59">
        <v>1.35</v>
      </c>
      <c r="BN15" s="60" t="s">
        <v>199</v>
      </c>
      <c r="BO15" s="60">
        <v>0.95</v>
      </c>
      <c r="BP15" s="63" t="s">
        <v>166</v>
      </c>
      <c r="BQ15" s="62">
        <v>1.55</v>
      </c>
      <c r="BR15" s="64" t="s">
        <v>142</v>
      </c>
      <c r="BS15" s="64">
        <v>1.1499999999999999</v>
      </c>
      <c r="CE15" t="s">
        <v>653</v>
      </c>
      <c r="CF15" t="s">
        <v>1070</v>
      </c>
      <c r="CG15" t="s">
        <v>864</v>
      </c>
    </row>
    <row r="16" spans="1:85" x14ac:dyDescent="0.3">
      <c r="C16" t="s">
        <v>1348</v>
      </c>
      <c r="F16" s="2">
        <v>1.0015624999999999</v>
      </c>
      <c r="G16" t="s">
        <v>1356</v>
      </c>
      <c r="H16" s="1"/>
      <c r="I16" s="1">
        <v>6</v>
      </c>
      <c r="J16" s="1"/>
      <c r="K16" s="1"/>
      <c r="L16" s="1"/>
      <c r="M16" s="1"/>
      <c r="N16" s="1"/>
      <c r="O16" s="1"/>
      <c r="P16" s="1"/>
      <c r="Q16" s="1"/>
      <c r="R16" s="1"/>
      <c r="S16" s="1"/>
      <c r="T16">
        <f t="shared" si="1"/>
        <v>6</v>
      </c>
      <c r="U16">
        <v>1</v>
      </c>
      <c r="V16" s="1" t="s">
        <v>75</v>
      </c>
      <c r="BF16" s="7"/>
      <c r="BL16" s="59" t="s">
        <v>404</v>
      </c>
      <c r="BM16" s="59">
        <v>1.35</v>
      </c>
      <c r="BN16" s="60" t="s">
        <v>200</v>
      </c>
      <c r="BO16" s="60">
        <v>1.1499999999999999</v>
      </c>
      <c r="BP16" s="63" t="s">
        <v>167</v>
      </c>
      <c r="BQ16" s="62">
        <v>1.75</v>
      </c>
      <c r="BR16" s="64" t="s">
        <v>143</v>
      </c>
      <c r="BS16" s="64">
        <v>1.1499999999999999</v>
      </c>
      <c r="CE16" t="s">
        <v>654</v>
      </c>
      <c r="CF16" t="s">
        <v>1071</v>
      </c>
      <c r="CG16" t="s">
        <v>865</v>
      </c>
    </row>
    <row r="17" spans="1:85" x14ac:dyDescent="0.3">
      <c r="A17" t="s">
        <v>1339</v>
      </c>
      <c r="F17" s="2">
        <v>1.0013888888888889</v>
      </c>
      <c r="G17" t="s">
        <v>1357</v>
      </c>
      <c r="H17" s="1">
        <v>5</v>
      </c>
      <c r="I17" s="1">
        <v>1</v>
      </c>
      <c r="J17" s="1"/>
      <c r="K17" s="1"/>
      <c r="L17" s="1"/>
      <c r="M17" s="1"/>
      <c r="N17" s="1"/>
      <c r="O17" s="1"/>
      <c r="P17" s="1"/>
      <c r="Q17" s="1"/>
      <c r="R17" s="1"/>
      <c r="S17" s="1"/>
      <c r="T17">
        <f t="shared" si="1"/>
        <v>6</v>
      </c>
      <c r="U17">
        <v>6</v>
      </c>
      <c r="V17" s="1" t="s">
        <v>75</v>
      </c>
      <c r="BF17" s="7"/>
      <c r="BL17" s="59" t="s">
        <v>405</v>
      </c>
      <c r="BM17" s="59">
        <v>1.3</v>
      </c>
      <c r="BN17" s="60" t="s">
        <v>201</v>
      </c>
      <c r="BO17" s="60">
        <v>0.95</v>
      </c>
      <c r="BP17" s="62" t="s">
        <v>162</v>
      </c>
      <c r="BQ17" s="62">
        <v>1.4</v>
      </c>
      <c r="BR17" s="64" t="s">
        <v>144</v>
      </c>
      <c r="BS17" s="64">
        <v>1.2</v>
      </c>
      <c r="CE17" t="s">
        <v>655</v>
      </c>
      <c r="CF17" t="s">
        <v>1072</v>
      </c>
      <c r="CG17" t="s">
        <v>866</v>
      </c>
    </row>
    <row r="18" spans="1:85" x14ac:dyDescent="0.3">
      <c r="A18" t="s">
        <v>9</v>
      </c>
      <c r="F18" s="2">
        <v>1.0015624999999999</v>
      </c>
      <c r="G18" t="s">
        <v>1358</v>
      </c>
      <c r="H18" s="1"/>
      <c r="I18" s="1">
        <v>6</v>
      </c>
      <c r="J18" s="1"/>
      <c r="K18" s="1"/>
      <c r="L18" s="1"/>
      <c r="M18" s="1"/>
      <c r="N18" s="1"/>
      <c r="O18" s="1"/>
      <c r="P18" s="1"/>
      <c r="Q18" s="1"/>
      <c r="R18" s="1"/>
      <c r="S18" s="1"/>
      <c r="T18">
        <f t="shared" si="1"/>
        <v>6</v>
      </c>
      <c r="U18">
        <v>1</v>
      </c>
      <c r="V18" s="1" t="s">
        <v>75</v>
      </c>
      <c r="BF18" s="7"/>
      <c r="BL18" s="59" t="s">
        <v>406</v>
      </c>
      <c r="BM18" s="59">
        <v>1.3</v>
      </c>
      <c r="BN18" s="60" t="s">
        <v>202</v>
      </c>
      <c r="BO18" s="60">
        <v>1.2</v>
      </c>
      <c r="BP18" s="62" t="s">
        <v>168</v>
      </c>
      <c r="BQ18" s="62">
        <v>1.1000000000000001</v>
      </c>
      <c r="BR18" s="64" t="s">
        <v>145</v>
      </c>
      <c r="BS18" s="64">
        <v>1.45</v>
      </c>
      <c r="CE18" t="s">
        <v>656</v>
      </c>
      <c r="CF18" t="s">
        <v>1073</v>
      </c>
      <c r="CG18" t="s">
        <v>867</v>
      </c>
    </row>
    <row r="19" spans="1:85" x14ac:dyDescent="0.3">
      <c r="A19" t="s">
        <v>1341</v>
      </c>
      <c r="F19" s="2">
        <v>1.0016203703703703</v>
      </c>
      <c r="G19" t="s">
        <v>1359</v>
      </c>
      <c r="H19" s="1">
        <v>5</v>
      </c>
      <c r="I19" s="1">
        <v>1</v>
      </c>
      <c r="J19" s="1">
        <v>1</v>
      </c>
      <c r="K19" s="1"/>
      <c r="L19" s="1"/>
      <c r="M19" s="1"/>
      <c r="N19" s="1"/>
      <c r="O19" s="1"/>
      <c r="P19" s="1"/>
      <c r="Q19" s="1"/>
      <c r="R19" s="1"/>
      <c r="S19" s="1"/>
      <c r="T19">
        <f t="shared" si="1"/>
        <v>7</v>
      </c>
      <c r="U19">
        <v>7</v>
      </c>
      <c r="V19" s="1" t="s">
        <v>76</v>
      </c>
      <c r="BF19" s="7"/>
      <c r="BL19" s="59" t="s">
        <v>407</v>
      </c>
      <c r="BM19" s="59">
        <v>1.35</v>
      </c>
      <c r="BN19" s="60" t="s">
        <v>203</v>
      </c>
      <c r="BO19" s="60">
        <v>1.2</v>
      </c>
      <c r="BP19" s="62" t="s">
        <v>169</v>
      </c>
      <c r="BQ19" s="62">
        <v>1.35</v>
      </c>
      <c r="BR19" s="64" t="s">
        <v>146</v>
      </c>
      <c r="BS19" s="64">
        <v>1.7</v>
      </c>
      <c r="CE19" t="s">
        <v>657</v>
      </c>
      <c r="CF19" t="s">
        <v>1074</v>
      </c>
      <c r="CG19" t="s">
        <v>868</v>
      </c>
    </row>
    <row r="20" spans="1:85" x14ac:dyDescent="0.3">
      <c r="A20" t="s">
        <v>11</v>
      </c>
      <c r="F20" s="2">
        <v>1.0019097222222222</v>
      </c>
      <c r="G20" t="s">
        <v>1360</v>
      </c>
      <c r="H20" s="1"/>
      <c r="I20" s="1">
        <v>6</v>
      </c>
      <c r="J20" s="1">
        <v>2</v>
      </c>
      <c r="K20" s="1"/>
      <c r="L20" s="1"/>
      <c r="M20" s="1"/>
      <c r="N20" s="1"/>
      <c r="O20" s="1"/>
      <c r="P20" s="1"/>
      <c r="Q20" s="1"/>
      <c r="R20" s="1"/>
      <c r="S20" s="1"/>
      <c r="T20">
        <f t="shared" si="1"/>
        <v>8</v>
      </c>
      <c r="U20">
        <v>2</v>
      </c>
      <c r="V20" s="1" t="s">
        <v>76</v>
      </c>
      <c r="BF20" s="7"/>
      <c r="BL20" s="59" t="s">
        <v>408</v>
      </c>
      <c r="BM20" s="59">
        <v>1</v>
      </c>
      <c r="BN20" s="60" t="s">
        <v>184</v>
      </c>
      <c r="BO20" s="60">
        <v>0.85</v>
      </c>
      <c r="BP20" s="62" t="s">
        <v>170</v>
      </c>
      <c r="BQ20" s="62">
        <v>1.25</v>
      </c>
      <c r="BR20" s="64" t="s">
        <v>147</v>
      </c>
      <c r="BS20" s="64">
        <v>1</v>
      </c>
      <c r="CE20" t="s">
        <v>658</v>
      </c>
      <c r="CF20" t="s">
        <v>1075</v>
      </c>
      <c r="CG20" t="s">
        <v>869</v>
      </c>
    </row>
    <row r="21" spans="1:85" x14ac:dyDescent="0.3">
      <c r="A21" t="s">
        <v>1343</v>
      </c>
      <c r="F21" s="2">
        <v>1.0016203703703703</v>
      </c>
      <c r="G21" t="s">
        <v>1361</v>
      </c>
      <c r="H21" s="1">
        <v>3</v>
      </c>
      <c r="I21" s="1">
        <v>1</v>
      </c>
      <c r="J21" s="1">
        <v>2</v>
      </c>
      <c r="K21" s="1"/>
      <c r="L21" s="1">
        <v>1</v>
      </c>
      <c r="M21" s="1"/>
      <c r="N21" s="1"/>
      <c r="O21" s="1"/>
      <c r="P21" s="1"/>
      <c r="Q21" s="1">
        <v>3</v>
      </c>
      <c r="R21" s="1"/>
      <c r="S21" s="1"/>
      <c r="T21">
        <f t="shared" si="1"/>
        <v>10</v>
      </c>
      <c r="U21">
        <v>8</v>
      </c>
      <c r="V21" s="1" t="s">
        <v>77</v>
      </c>
      <c r="BF21" s="7"/>
      <c r="BL21" s="59" t="s">
        <v>201</v>
      </c>
      <c r="BM21" s="59">
        <v>1.3</v>
      </c>
      <c r="BN21" s="60" t="s">
        <v>147</v>
      </c>
      <c r="BO21" s="60">
        <v>1.2</v>
      </c>
      <c r="BP21" s="62" t="s">
        <v>171</v>
      </c>
      <c r="BQ21" s="62">
        <v>1.6</v>
      </c>
      <c r="BR21" s="64" t="s">
        <v>148</v>
      </c>
      <c r="BS21" s="64">
        <v>1.1000000000000001</v>
      </c>
      <c r="CE21" t="s">
        <v>659</v>
      </c>
      <c r="CF21" t="s">
        <v>1076</v>
      </c>
      <c r="CG21" t="s">
        <v>870</v>
      </c>
    </row>
    <row r="22" spans="1:85" ht="15" x14ac:dyDescent="0.25">
      <c r="A22" t="s">
        <v>1344</v>
      </c>
      <c r="F22" s="2">
        <v>1.0019097222222222</v>
      </c>
      <c r="G22" t="s">
        <v>1362</v>
      </c>
      <c r="H22" s="1"/>
      <c r="I22" s="1">
        <v>4</v>
      </c>
      <c r="J22" s="1">
        <v>3</v>
      </c>
      <c r="K22" s="1"/>
      <c r="L22" s="1"/>
      <c r="M22" s="1"/>
      <c r="N22" s="1"/>
      <c r="O22" s="1"/>
      <c r="P22" s="1"/>
      <c r="Q22" s="1">
        <v>4</v>
      </c>
      <c r="R22" s="1"/>
      <c r="S22" s="1"/>
      <c r="T22">
        <f t="shared" si="1"/>
        <v>11</v>
      </c>
      <c r="U22">
        <v>3</v>
      </c>
      <c r="V22" s="1" t="s">
        <v>77</v>
      </c>
      <c r="BF22" s="7"/>
      <c r="BL22" s="59" t="s">
        <v>409</v>
      </c>
      <c r="BM22" s="59">
        <v>0.5</v>
      </c>
      <c r="BN22" s="60" t="s">
        <v>204</v>
      </c>
      <c r="BO22" s="60">
        <v>1.6</v>
      </c>
      <c r="BP22" s="62" t="s">
        <v>172</v>
      </c>
      <c r="BQ22" s="62">
        <v>0.7</v>
      </c>
      <c r="BR22" s="64" t="s">
        <v>149</v>
      </c>
      <c r="BS22" s="64">
        <v>0.9</v>
      </c>
      <c r="CE22" t="s">
        <v>660</v>
      </c>
      <c r="CF22" t="s">
        <v>1077</v>
      </c>
      <c r="CG22" t="s">
        <v>871</v>
      </c>
    </row>
    <row r="23" spans="1:85" ht="15" x14ac:dyDescent="0.25">
      <c r="D23">
        <v>2</v>
      </c>
      <c r="E23" t="s">
        <v>18</v>
      </c>
      <c r="F23" s="2">
        <v>1.0019675925925926</v>
      </c>
      <c r="G23" t="s">
        <v>1363</v>
      </c>
      <c r="H23" s="1">
        <v>5</v>
      </c>
      <c r="I23" s="1">
        <v>1</v>
      </c>
      <c r="J23" s="1">
        <v>1</v>
      </c>
      <c r="K23" s="1"/>
      <c r="L23" s="1"/>
      <c r="M23" s="1"/>
      <c r="N23" s="1"/>
      <c r="O23" s="1"/>
      <c r="P23" s="1"/>
      <c r="Q23" s="1"/>
      <c r="R23" s="1"/>
      <c r="S23" s="1">
        <v>1</v>
      </c>
      <c r="T23">
        <f t="shared" si="1"/>
        <v>8</v>
      </c>
      <c r="U23">
        <v>11</v>
      </c>
      <c r="V23" s="1" t="s">
        <v>78</v>
      </c>
      <c r="BF23" s="7"/>
      <c r="BL23" s="59" t="s">
        <v>410</v>
      </c>
      <c r="BM23" s="59">
        <v>1.1000000000000001</v>
      </c>
      <c r="BN23" s="60" t="s">
        <v>205</v>
      </c>
      <c r="BO23" s="60">
        <v>1.4</v>
      </c>
      <c r="BP23" s="62" t="s">
        <v>173</v>
      </c>
      <c r="BQ23" s="62">
        <v>1.85</v>
      </c>
      <c r="BR23" s="64" t="s">
        <v>150</v>
      </c>
      <c r="BS23" s="64">
        <v>0.9</v>
      </c>
      <c r="CE23" t="s">
        <v>661</v>
      </c>
      <c r="CF23" t="s">
        <v>1078</v>
      </c>
      <c r="CG23" t="s">
        <v>872</v>
      </c>
    </row>
    <row r="24" spans="1:85" x14ac:dyDescent="0.3">
      <c r="D24">
        <v>2</v>
      </c>
      <c r="E24" t="s">
        <v>1661</v>
      </c>
      <c r="F24" s="2">
        <v>1.0024305555555555</v>
      </c>
      <c r="G24" t="s">
        <v>1364</v>
      </c>
      <c r="H24" s="1"/>
      <c r="I24" s="1">
        <v>6</v>
      </c>
      <c r="J24" s="1">
        <v>3</v>
      </c>
      <c r="K24" s="1"/>
      <c r="L24" s="1"/>
      <c r="M24" s="1"/>
      <c r="N24" s="1"/>
      <c r="O24" s="1"/>
      <c r="P24" s="1"/>
      <c r="Q24" s="1"/>
      <c r="R24" s="1"/>
      <c r="S24" s="1"/>
      <c r="T24">
        <f t="shared" si="1"/>
        <v>9</v>
      </c>
      <c r="U24">
        <v>12</v>
      </c>
      <c r="V24" s="1" t="s">
        <v>78</v>
      </c>
      <c r="BF24" s="7"/>
      <c r="BL24" s="59" t="s">
        <v>147</v>
      </c>
      <c r="BM24" s="59">
        <v>1.4</v>
      </c>
      <c r="BN24" s="60" t="s">
        <v>1316</v>
      </c>
      <c r="BO24" s="60">
        <v>1.7</v>
      </c>
      <c r="BP24" s="62" t="s">
        <v>1287</v>
      </c>
      <c r="BQ24" s="62">
        <v>1.65</v>
      </c>
      <c r="BR24" s="64" t="s">
        <v>151</v>
      </c>
      <c r="BS24" s="64">
        <v>1</v>
      </c>
      <c r="CE24" t="s">
        <v>662</v>
      </c>
      <c r="CF24" t="s">
        <v>1079</v>
      </c>
      <c r="CG24" t="s">
        <v>873</v>
      </c>
    </row>
    <row r="25" spans="1:85" ht="15" x14ac:dyDescent="0.25">
      <c r="A25" t="s">
        <v>1338</v>
      </c>
      <c r="D25">
        <v>2</v>
      </c>
      <c r="E25" t="s">
        <v>1662</v>
      </c>
      <c r="F25" s="2">
        <v>1.0020833333333334</v>
      </c>
      <c r="G25" t="s">
        <v>1369</v>
      </c>
      <c r="H25" s="1"/>
      <c r="I25" s="1"/>
      <c r="J25" s="1">
        <v>4</v>
      </c>
      <c r="K25" s="1"/>
      <c r="L25" s="1"/>
      <c r="M25" s="1"/>
      <c r="N25" s="1">
        <v>1</v>
      </c>
      <c r="O25" s="1">
        <v>1</v>
      </c>
      <c r="P25" s="1">
        <v>2</v>
      </c>
      <c r="Q25" s="1"/>
      <c r="R25" s="1">
        <v>1</v>
      </c>
      <c r="S25" s="1"/>
      <c r="T25">
        <f t="shared" si="1"/>
        <v>9</v>
      </c>
      <c r="U25">
        <v>4</v>
      </c>
      <c r="V25" s="1" t="s">
        <v>78</v>
      </c>
      <c r="BF25" s="7"/>
      <c r="BL25" s="59"/>
      <c r="BM25" s="59"/>
      <c r="BN25" s="60" t="s">
        <v>96</v>
      </c>
      <c r="BO25" s="60">
        <v>0.7</v>
      </c>
      <c r="BP25" s="62" t="s">
        <v>174</v>
      </c>
      <c r="BQ25" s="62">
        <v>2</v>
      </c>
      <c r="BR25" s="64" t="s">
        <v>152</v>
      </c>
      <c r="BS25" s="64">
        <v>1.1000000000000001</v>
      </c>
      <c r="CE25" t="s">
        <v>663</v>
      </c>
      <c r="CF25" t="s">
        <v>1080</v>
      </c>
      <c r="CG25" t="s">
        <v>874</v>
      </c>
    </row>
    <row r="26" spans="1:85" x14ac:dyDescent="0.3">
      <c r="A26" t="s">
        <v>1339</v>
      </c>
      <c r="F26" s="2">
        <v>1.0020833333333334</v>
      </c>
      <c r="G26" t="s">
        <v>1365</v>
      </c>
      <c r="H26" s="1"/>
      <c r="I26" s="1"/>
      <c r="J26" s="1">
        <v>7</v>
      </c>
      <c r="K26" s="1"/>
      <c r="L26" s="1"/>
      <c r="M26" s="1"/>
      <c r="N26" s="1"/>
      <c r="O26" s="1"/>
      <c r="P26" s="1"/>
      <c r="Q26" s="1"/>
      <c r="R26" s="1"/>
      <c r="S26" s="1"/>
      <c r="T26">
        <f t="shared" si="1"/>
        <v>7</v>
      </c>
      <c r="U26">
        <v>10</v>
      </c>
      <c r="V26" s="1" t="s">
        <v>78</v>
      </c>
      <c r="BF26" s="7"/>
      <c r="BL26" s="59"/>
      <c r="BM26" s="59"/>
      <c r="BN26" s="60" t="s">
        <v>206</v>
      </c>
      <c r="BO26" s="60">
        <v>0.6</v>
      </c>
      <c r="BP26" s="62" t="s">
        <v>175</v>
      </c>
      <c r="BQ26" s="62">
        <v>1.45</v>
      </c>
      <c r="BR26" s="64" t="s">
        <v>153</v>
      </c>
      <c r="BS26" s="64">
        <v>0.6</v>
      </c>
      <c r="CE26" t="s">
        <v>664</v>
      </c>
      <c r="CF26" t="s">
        <v>1217</v>
      </c>
      <c r="CG26" t="s">
        <v>875</v>
      </c>
    </row>
    <row r="27" spans="1:85" x14ac:dyDescent="0.3">
      <c r="A27" t="s">
        <v>3</v>
      </c>
      <c r="F27" s="2">
        <v>1.0013888888888889</v>
      </c>
      <c r="G27" t="s">
        <v>1331</v>
      </c>
      <c r="H27" s="1">
        <v>5</v>
      </c>
      <c r="I27" s="1">
        <v>1</v>
      </c>
      <c r="J27" s="1"/>
      <c r="K27" s="1"/>
      <c r="L27" s="1"/>
      <c r="M27" s="1"/>
      <c r="N27" s="1"/>
      <c r="O27" s="1"/>
      <c r="P27" s="1"/>
      <c r="Q27" s="1"/>
      <c r="R27" s="1"/>
      <c r="S27" s="1"/>
      <c r="T27">
        <f t="shared" si="1"/>
        <v>6</v>
      </c>
      <c r="U27">
        <v>6</v>
      </c>
      <c r="V27" s="1" t="s">
        <v>75</v>
      </c>
      <c r="BF27" s="7"/>
      <c r="BL27" s="59"/>
      <c r="BM27" s="59"/>
      <c r="BN27" s="60" t="s">
        <v>207</v>
      </c>
      <c r="BO27" s="60">
        <v>1.05</v>
      </c>
      <c r="BP27" s="62" t="s">
        <v>604</v>
      </c>
      <c r="BQ27" s="62">
        <v>1.3</v>
      </c>
      <c r="BR27" s="65" t="s">
        <v>154</v>
      </c>
      <c r="BS27" s="64">
        <v>1.2</v>
      </c>
      <c r="CE27" t="s">
        <v>665</v>
      </c>
      <c r="CF27" t="s">
        <v>1081</v>
      </c>
      <c r="CG27" t="s">
        <v>876</v>
      </c>
    </row>
    <row r="28" spans="1:85" x14ac:dyDescent="0.3">
      <c r="A28" t="s">
        <v>9</v>
      </c>
      <c r="F28" s="2">
        <v>1.0015624999999999</v>
      </c>
      <c r="G28" t="s">
        <v>1332</v>
      </c>
      <c r="H28" s="1"/>
      <c r="I28" s="1">
        <v>6</v>
      </c>
      <c r="J28" s="1"/>
      <c r="K28" s="1"/>
      <c r="L28" s="1"/>
      <c r="M28" s="1"/>
      <c r="N28" s="1"/>
      <c r="O28" s="1"/>
      <c r="P28" s="1"/>
      <c r="Q28" s="1"/>
      <c r="R28" s="1"/>
      <c r="S28" s="1"/>
      <c r="T28">
        <f t="shared" si="1"/>
        <v>6</v>
      </c>
      <c r="U28">
        <v>1</v>
      </c>
      <c r="V28" s="1" t="s">
        <v>75</v>
      </c>
      <c r="BF28" s="7"/>
      <c r="BL28" s="59"/>
      <c r="BM28" s="59"/>
      <c r="BN28" s="60" t="s">
        <v>1317</v>
      </c>
      <c r="BO28" s="60">
        <v>1.05</v>
      </c>
      <c r="BP28" s="62" t="s">
        <v>176</v>
      </c>
      <c r="BQ28" s="62">
        <v>1.75</v>
      </c>
      <c r="BR28" s="64" t="s">
        <v>155</v>
      </c>
      <c r="BS28" s="64">
        <v>0.8</v>
      </c>
      <c r="CE28" t="s">
        <v>666</v>
      </c>
      <c r="CF28" t="s">
        <v>1082</v>
      </c>
      <c r="CG28" t="s">
        <v>877</v>
      </c>
    </row>
    <row r="29" spans="1:85" x14ac:dyDescent="0.3">
      <c r="A29" t="s">
        <v>1340</v>
      </c>
      <c r="F29" s="2">
        <v>1.0013888888888889</v>
      </c>
      <c r="G29" t="s">
        <v>26</v>
      </c>
      <c r="H29" s="1">
        <v>5</v>
      </c>
      <c r="I29" s="1">
        <v>1</v>
      </c>
      <c r="J29" s="1"/>
      <c r="K29" s="1"/>
      <c r="L29" s="1"/>
      <c r="M29" s="1"/>
      <c r="N29" s="1"/>
      <c r="O29" s="1"/>
      <c r="P29" s="1"/>
      <c r="Q29" s="1"/>
      <c r="R29" s="1"/>
      <c r="S29" s="1"/>
      <c r="T29">
        <f t="shared" si="1"/>
        <v>6</v>
      </c>
      <c r="U29">
        <v>6</v>
      </c>
      <c r="V29" s="1" t="s">
        <v>75</v>
      </c>
      <c r="BF29" s="7"/>
      <c r="BL29" s="59"/>
      <c r="BM29" s="59"/>
      <c r="BN29" s="60" t="s">
        <v>208</v>
      </c>
      <c r="BO29" s="60">
        <v>0.7</v>
      </c>
      <c r="BP29" s="62" t="s">
        <v>177</v>
      </c>
      <c r="BQ29" s="62">
        <v>1.8</v>
      </c>
      <c r="BR29" s="64" t="s">
        <v>156</v>
      </c>
      <c r="BS29" s="64">
        <v>0.5</v>
      </c>
      <c r="CE29" t="s">
        <v>667</v>
      </c>
      <c r="CF29" t="s">
        <v>1218</v>
      </c>
      <c r="CG29" t="s">
        <v>878</v>
      </c>
    </row>
    <row r="30" spans="1:85" x14ac:dyDescent="0.3">
      <c r="A30" t="s">
        <v>1341</v>
      </c>
      <c r="F30" s="2">
        <v>1.0015624999999999</v>
      </c>
      <c r="G30" t="s">
        <v>27</v>
      </c>
      <c r="H30" s="1"/>
      <c r="I30" s="1">
        <v>6</v>
      </c>
      <c r="J30" s="1"/>
      <c r="K30" s="1"/>
      <c r="L30" s="1"/>
      <c r="M30" s="1"/>
      <c r="N30" s="1"/>
      <c r="O30" s="1"/>
      <c r="P30" s="1"/>
      <c r="Q30" s="1"/>
      <c r="R30" s="1"/>
      <c r="S30" s="1"/>
      <c r="T30">
        <f t="shared" si="1"/>
        <v>6</v>
      </c>
      <c r="U30">
        <v>1</v>
      </c>
      <c r="V30" s="1" t="s">
        <v>75</v>
      </c>
      <c r="BF30" s="7"/>
      <c r="BL30" s="59"/>
      <c r="BM30" s="59"/>
      <c r="BN30" s="60" t="s">
        <v>209</v>
      </c>
      <c r="BO30" s="60">
        <v>1.1000000000000001</v>
      </c>
      <c r="BP30" s="62" t="s">
        <v>178</v>
      </c>
      <c r="BQ30" s="62">
        <v>1.45</v>
      </c>
      <c r="BR30" s="64" t="s">
        <v>157</v>
      </c>
      <c r="BS30" s="64">
        <v>0.3</v>
      </c>
      <c r="CE30" t="s">
        <v>668</v>
      </c>
      <c r="CF30" t="s">
        <v>1258</v>
      </c>
      <c r="CG30" t="s">
        <v>879</v>
      </c>
    </row>
    <row r="31" spans="1:85" x14ac:dyDescent="0.3">
      <c r="A31" t="s">
        <v>10</v>
      </c>
      <c r="F31" s="2">
        <v>1.0016203703703703</v>
      </c>
      <c r="G31" t="s">
        <v>1333</v>
      </c>
      <c r="H31" s="1">
        <v>5</v>
      </c>
      <c r="I31" s="1">
        <v>1</v>
      </c>
      <c r="J31" s="1">
        <v>1</v>
      </c>
      <c r="K31" s="1"/>
      <c r="L31" s="1"/>
      <c r="M31" s="1"/>
      <c r="N31" s="1"/>
      <c r="O31" s="1"/>
      <c r="P31" s="1"/>
      <c r="Q31" s="1"/>
      <c r="R31" s="1"/>
      <c r="S31" s="1"/>
      <c r="T31">
        <f t="shared" si="1"/>
        <v>7</v>
      </c>
      <c r="U31">
        <v>7</v>
      </c>
      <c r="V31" s="1" t="s">
        <v>76</v>
      </c>
      <c r="BF31" s="7"/>
      <c r="BL31" s="59"/>
      <c r="BM31" s="59"/>
      <c r="BN31" s="60" t="s">
        <v>210</v>
      </c>
      <c r="BO31" s="60">
        <v>1.4</v>
      </c>
      <c r="BP31" s="62" t="s">
        <v>179</v>
      </c>
      <c r="BQ31" s="62">
        <v>1.1499999999999999</v>
      </c>
      <c r="BR31" s="64" t="s">
        <v>158</v>
      </c>
      <c r="BS31" s="64">
        <v>1</v>
      </c>
      <c r="CE31" t="s">
        <v>669</v>
      </c>
      <c r="CF31" t="s">
        <v>1083</v>
      </c>
      <c r="CG31" t="s">
        <v>880</v>
      </c>
    </row>
    <row r="32" spans="1:85" x14ac:dyDescent="0.3">
      <c r="A32" t="s">
        <v>11</v>
      </c>
      <c r="F32" s="2">
        <v>1.0019097222222222</v>
      </c>
      <c r="G32" t="s">
        <v>1334</v>
      </c>
      <c r="H32" s="1"/>
      <c r="I32" s="1">
        <v>6</v>
      </c>
      <c r="J32" s="1">
        <v>2</v>
      </c>
      <c r="K32" s="1"/>
      <c r="L32" s="1"/>
      <c r="M32" s="1"/>
      <c r="N32" s="1"/>
      <c r="O32" s="1"/>
      <c r="P32" s="1"/>
      <c r="Q32" s="1"/>
      <c r="R32" s="1"/>
      <c r="S32" s="1"/>
      <c r="T32">
        <f t="shared" si="1"/>
        <v>8</v>
      </c>
      <c r="U32">
        <v>2</v>
      </c>
      <c r="V32" s="1" t="s">
        <v>76</v>
      </c>
      <c r="BF32" s="7"/>
      <c r="BL32" s="59"/>
      <c r="BM32" s="59"/>
      <c r="BN32" s="60" t="s">
        <v>211</v>
      </c>
      <c r="BO32" s="60">
        <v>0.7</v>
      </c>
      <c r="BP32" s="62" t="s">
        <v>605</v>
      </c>
      <c r="BQ32" s="62">
        <v>0.7</v>
      </c>
      <c r="BR32" s="64" t="s">
        <v>159</v>
      </c>
      <c r="BS32" s="64">
        <v>0.8</v>
      </c>
      <c r="CE32" t="s">
        <v>670</v>
      </c>
      <c r="CF32" t="s">
        <v>1219</v>
      </c>
      <c r="CG32" t="s">
        <v>881</v>
      </c>
    </row>
    <row r="33" spans="1:85" x14ac:dyDescent="0.3">
      <c r="A33" t="s">
        <v>1342</v>
      </c>
      <c r="D33">
        <v>3</v>
      </c>
      <c r="E33" t="s">
        <v>18</v>
      </c>
      <c r="F33" s="2">
        <v>1.0016203703703703</v>
      </c>
      <c r="G33" t="s">
        <v>28</v>
      </c>
      <c r="H33" s="1">
        <v>3</v>
      </c>
      <c r="I33" s="1">
        <v>1</v>
      </c>
      <c r="J33" s="1">
        <v>2</v>
      </c>
      <c r="K33" s="1"/>
      <c r="L33" s="1">
        <v>1</v>
      </c>
      <c r="M33" s="1"/>
      <c r="N33" s="1"/>
      <c r="O33" s="1"/>
      <c r="P33" s="1"/>
      <c r="Q33" s="1">
        <v>3</v>
      </c>
      <c r="R33" s="1"/>
      <c r="S33" s="1"/>
      <c r="T33">
        <f t="shared" si="1"/>
        <v>10</v>
      </c>
      <c r="U33">
        <v>8</v>
      </c>
      <c r="V33" s="1" t="s">
        <v>77</v>
      </c>
      <c r="BF33" s="7"/>
      <c r="BL33" s="59"/>
      <c r="BM33" s="59"/>
      <c r="BN33" s="60" t="s">
        <v>212</v>
      </c>
      <c r="BO33" s="60">
        <v>0.9</v>
      </c>
      <c r="BP33" s="62" t="s">
        <v>606</v>
      </c>
      <c r="BQ33" s="62">
        <v>1.05</v>
      </c>
      <c r="BR33" s="64" t="s">
        <v>160</v>
      </c>
      <c r="BS33" s="64">
        <v>1.2</v>
      </c>
      <c r="CE33" t="s">
        <v>671</v>
      </c>
      <c r="CF33" t="s">
        <v>1084</v>
      </c>
      <c r="CG33" t="s">
        <v>882</v>
      </c>
    </row>
    <row r="34" spans="1:85" x14ac:dyDescent="0.3">
      <c r="A34" t="s">
        <v>1343</v>
      </c>
      <c r="D34">
        <v>3</v>
      </c>
      <c r="E34" t="s">
        <v>1663</v>
      </c>
      <c r="F34" s="2">
        <v>1.0019097222222222</v>
      </c>
      <c r="G34" t="s">
        <v>29</v>
      </c>
      <c r="H34" s="1"/>
      <c r="I34" s="1">
        <v>4</v>
      </c>
      <c r="J34" s="1">
        <v>3</v>
      </c>
      <c r="K34" s="1"/>
      <c r="L34" s="1"/>
      <c r="M34" s="1"/>
      <c r="N34" s="1"/>
      <c r="O34" s="1"/>
      <c r="P34" s="1"/>
      <c r="Q34" s="1">
        <v>4</v>
      </c>
      <c r="R34" s="1"/>
      <c r="S34" s="1"/>
      <c r="T34">
        <f t="shared" si="1"/>
        <v>11</v>
      </c>
      <c r="U34">
        <v>3</v>
      </c>
      <c r="V34" s="1" t="s">
        <v>77</v>
      </c>
      <c r="BF34" s="7"/>
      <c r="BL34" s="59"/>
      <c r="BM34" s="59"/>
      <c r="BN34" s="60" t="s">
        <v>213</v>
      </c>
      <c r="BO34" s="60">
        <v>0.8</v>
      </c>
      <c r="BP34" s="62" t="s">
        <v>180</v>
      </c>
      <c r="BQ34" s="62">
        <v>1.85</v>
      </c>
      <c r="BR34" s="64" t="s">
        <v>1305</v>
      </c>
      <c r="BS34" s="64">
        <v>1.8</v>
      </c>
      <c r="CE34" t="s">
        <v>672</v>
      </c>
      <c r="CF34" t="s">
        <v>1085</v>
      </c>
      <c r="CG34" t="s">
        <v>883</v>
      </c>
    </row>
    <row r="35" spans="1:85" x14ac:dyDescent="0.3">
      <c r="A35" t="s">
        <v>1345</v>
      </c>
      <c r="D35">
        <v>3</v>
      </c>
      <c r="E35" t="s">
        <v>1661</v>
      </c>
      <c r="F35" s="2">
        <v>1.0019675925925926</v>
      </c>
      <c r="G35" t="s">
        <v>1335</v>
      </c>
      <c r="H35" s="1">
        <v>5</v>
      </c>
      <c r="I35" s="1">
        <v>1</v>
      </c>
      <c r="J35" s="1">
        <v>1</v>
      </c>
      <c r="K35" s="1"/>
      <c r="L35" s="1"/>
      <c r="M35" s="1"/>
      <c r="N35" s="1"/>
      <c r="O35" s="1"/>
      <c r="P35" s="1"/>
      <c r="Q35" s="1"/>
      <c r="R35" s="1"/>
      <c r="S35" s="1">
        <v>1</v>
      </c>
      <c r="T35">
        <f t="shared" si="1"/>
        <v>8</v>
      </c>
      <c r="U35">
        <v>11</v>
      </c>
      <c r="V35" s="1" t="s">
        <v>78</v>
      </c>
      <c r="BF35" s="7"/>
      <c r="BL35" s="59"/>
      <c r="BM35" s="59"/>
      <c r="BN35" s="60" t="s">
        <v>214</v>
      </c>
      <c r="BO35" s="60">
        <v>0.8</v>
      </c>
      <c r="BP35" s="62" t="s">
        <v>181</v>
      </c>
      <c r="BQ35" s="62">
        <v>0.95</v>
      </c>
      <c r="BR35" s="64"/>
      <c r="BS35" s="64"/>
      <c r="CE35" t="s">
        <v>673</v>
      </c>
      <c r="CF35" t="s">
        <v>1086</v>
      </c>
      <c r="CG35" t="s">
        <v>884</v>
      </c>
    </row>
    <row r="36" spans="1:85" x14ac:dyDescent="0.3">
      <c r="D36">
        <v>3</v>
      </c>
      <c r="E36" t="s">
        <v>1662</v>
      </c>
      <c r="F36" s="2">
        <v>1.0024305555555555</v>
      </c>
      <c r="G36" t="s">
        <v>1336</v>
      </c>
      <c r="H36" s="1"/>
      <c r="I36" s="1">
        <v>6</v>
      </c>
      <c r="J36" s="1">
        <v>3</v>
      </c>
      <c r="K36" s="1"/>
      <c r="L36" s="1"/>
      <c r="M36" s="1"/>
      <c r="N36" s="1"/>
      <c r="O36" s="1"/>
      <c r="P36" s="1"/>
      <c r="Q36" s="1"/>
      <c r="R36" s="1"/>
      <c r="S36" s="1"/>
      <c r="T36">
        <f t="shared" si="1"/>
        <v>9</v>
      </c>
      <c r="U36">
        <v>12</v>
      </c>
      <c r="V36" s="1" t="s">
        <v>78</v>
      </c>
      <c r="BF36" s="7"/>
      <c r="BL36" s="59"/>
      <c r="BM36" s="59"/>
      <c r="BN36" s="60" t="s">
        <v>215</v>
      </c>
      <c r="BO36" s="60">
        <v>0.4</v>
      </c>
      <c r="BP36" s="62" t="s">
        <v>182</v>
      </c>
      <c r="BQ36" s="62">
        <v>1.35</v>
      </c>
      <c r="BR36" s="64"/>
      <c r="BS36" s="64"/>
      <c r="CE36" t="s">
        <v>674</v>
      </c>
      <c r="CF36" t="s">
        <v>1087</v>
      </c>
      <c r="CG36" t="s">
        <v>885</v>
      </c>
    </row>
    <row r="37" spans="1:85" x14ac:dyDescent="0.3">
      <c r="F37" s="2">
        <v>1.0020833333333334</v>
      </c>
      <c r="G37" t="s">
        <v>1370</v>
      </c>
      <c r="H37" s="1"/>
      <c r="I37" s="1"/>
      <c r="J37" s="1">
        <v>4</v>
      </c>
      <c r="K37" s="1"/>
      <c r="L37" s="1"/>
      <c r="M37" s="1"/>
      <c r="N37" s="1">
        <v>1</v>
      </c>
      <c r="O37" s="1">
        <v>1</v>
      </c>
      <c r="P37" s="1">
        <v>2</v>
      </c>
      <c r="Q37" s="1"/>
      <c r="R37" s="1">
        <v>1</v>
      </c>
      <c r="S37" s="1"/>
      <c r="T37">
        <f t="shared" si="1"/>
        <v>9</v>
      </c>
      <c r="U37">
        <v>4</v>
      </c>
      <c r="V37" s="1" t="s">
        <v>78</v>
      </c>
      <c r="BF37" s="7"/>
      <c r="BL37" s="59"/>
      <c r="BM37" s="59"/>
      <c r="BN37" s="60" t="s">
        <v>216</v>
      </c>
      <c r="BO37" s="60">
        <v>0.3</v>
      </c>
      <c r="BP37" s="62" t="s">
        <v>183</v>
      </c>
      <c r="BQ37" s="62">
        <v>1.6</v>
      </c>
      <c r="BR37" s="64"/>
      <c r="BS37" s="64"/>
      <c r="CE37" t="s">
        <v>675</v>
      </c>
      <c r="CF37" t="s">
        <v>1220</v>
      </c>
      <c r="CG37" t="s">
        <v>886</v>
      </c>
    </row>
    <row r="38" spans="1:85" x14ac:dyDescent="0.3">
      <c r="F38" s="2">
        <v>1.0020833333333334</v>
      </c>
      <c r="G38" t="s">
        <v>1337</v>
      </c>
      <c r="H38" s="1"/>
      <c r="I38" s="1"/>
      <c r="J38" s="1">
        <v>7</v>
      </c>
      <c r="K38" s="1"/>
      <c r="L38" s="1"/>
      <c r="M38" s="1"/>
      <c r="N38" s="1"/>
      <c r="O38" s="1"/>
      <c r="P38" s="1"/>
      <c r="Q38" s="1"/>
      <c r="R38" s="1"/>
      <c r="S38" s="1"/>
      <c r="T38">
        <f t="shared" si="1"/>
        <v>7</v>
      </c>
      <c r="U38">
        <v>10</v>
      </c>
      <c r="V38" s="1" t="s">
        <v>78</v>
      </c>
      <c r="BF38" s="7"/>
      <c r="BL38" s="59"/>
      <c r="BM38" s="59"/>
      <c r="BN38" s="60" t="s">
        <v>217</v>
      </c>
      <c r="BO38" s="60">
        <v>1.1000000000000001</v>
      </c>
      <c r="BP38" s="62" t="s">
        <v>184</v>
      </c>
      <c r="BQ38" s="62">
        <v>1.45</v>
      </c>
      <c r="BR38" s="64"/>
      <c r="BS38" s="64"/>
      <c r="CE38" t="s">
        <v>676</v>
      </c>
      <c r="CF38" t="s">
        <v>1221</v>
      </c>
      <c r="CG38" t="s">
        <v>887</v>
      </c>
    </row>
    <row r="39" spans="1:85" x14ac:dyDescent="0.3">
      <c r="BF39" s="7"/>
      <c r="BL39" s="59"/>
      <c r="BM39" s="59"/>
      <c r="BN39" s="60" t="s">
        <v>218</v>
      </c>
      <c r="BO39" s="60">
        <v>0.7</v>
      </c>
      <c r="BP39" s="62" t="s">
        <v>185</v>
      </c>
      <c r="BQ39" s="62">
        <v>1.55</v>
      </c>
      <c r="BR39" s="64"/>
      <c r="BS39" s="64"/>
      <c r="CE39" t="s">
        <v>677</v>
      </c>
      <c r="CF39" t="s">
        <v>1222</v>
      </c>
      <c r="CG39" t="s">
        <v>888</v>
      </c>
    </row>
    <row r="40" spans="1:85" x14ac:dyDescent="0.3">
      <c r="U40">
        <v>1</v>
      </c>
      <c r="BF40" s="7"/>
      <c r="BL40" s="59"/>
      <c r="BM40" s="59"/>
      <c r="BN40" s="60" t="s">
        <v>219</v>
      </c>
      <c r="BO40" s="60">
        <v>0.95</v>
      </c>
      <c r="BP40" s="62" t="s">
        <v>186</v>
      </c>
      <c r="BQ40" s="62">
        <v>1.5</v>
      </c>
      <c r="BR40" s="64"/>
      <c r="BS40" s="64"/>
      <c r="CE40" t="s">
        <v>678</v>
      </c>
      <c r="CF40" t="s">
        <v>1088</v>
      </c>
      <c r="CG40" t="s">
        <v>889</v>
      </c>
    </row>
    <row r="41" spans="1:85" x14ac:dyDescent="0.3">
      <c r="U41">
        <v>2</v>
      </c>
      <c r="BF41" s="7"/>
      <c r="BL41" s="59"/>
      <c r="BM41" s="59"/>
      <c r="BN41" s="60" t="s">
        <v>220</v>
      </c>
      <c r="BO41" s="60">
        <v>1.25</v>
      </c>
      <c r="BP41" s="62" t="s">
        <v>187</v>
      </c>
      <c r="BQ41" s="62">
        <v>0.5</v>
      </c>
      <c r="BR41" s="64"/>
      <c r="BS41" s="64"/>
      <c r="CE41" t="s">
        <v>679</v>
      </c>
      <c r="CF41" t="s">
        <v>1089</v>
      </c>
      <c r="CG41" t="s">
        <v>890</v>
      </c>
    </row>
    <row r="42" spans="1:85" x14ac:dyDescent="0.3">
      <c r="U42">
        <v>3</v>
      </c>
      <c r="BL42" s="59"/>
      <c r="BM42" s="59"/>
      <c r="BN42" s="60" t="s">
        <v>221</v>
      </c>
      <c r="BO42" s="60">
        <v>1.2</v>
      </c>
      <c r="BP42" s="62" t="s">
        <v>188</v>
      </c>
      <c r="BQ42" s="62">
        <v>1.45</v>
      </c>
      <c r="BR42" s="64"/>
      <c r="BS42" s="64"/>
      <c r="CE42" t="s">
        <v>680</v>
      </c>
      <c r="CF42" t="s">
        <v>1090</v>
      </c>
      <c r="CG42" t="s">
        <v>891</v>
      </c>
    </row>
    <row r="43" spans="1:85" x14ac:dyDescent="0.3">
      <c r="D43">
        <v>4</v>
      </c>
      <c r="E43" t="s">
        <v>18</v>
      </c>
      <c r="L43" t="s">
        <v>43</v>
      </c>
      <c r="M43" t="s">
        <v>42</v>
      </c>
      <c r="N43">
        <f ca="1">SUM(INDIRECT(L43))</f>
        <v>6</v>
      </c>
      <c r="U43">
        <v>4</v>
      </c>
      <c r="BL43" s="59"/>
      <c r="BM43" s="59"/>
      <c r="BN43" s="60" t="s">
        <v>1292</v>
      </c>
      <c r="BO43" s="60">
        <v>1.05</v>
      </c>
      <c r="BP43" s="62" t="s">
        <v>189</v>
      </c>
      <c r="BQ43" s="62">
        <v>0.5</v>
      </c>
      <c r="BR43" s="64"/>
      <c r="BS43" s="64"/>
      <c r="CE43" t="s">
        <v>681</v>
      </c>
      <c r="CF43" t="s">
        <v>1223</v>
      </c>
      <c r="CG43" t="s">
        <v>892</v>
      </c>
    </row>
    <row r="44" spans="1:85" x14ac:dyDescent="0.3">
      <c r="D44">
        <v>4</v>
      </c>
      <c r="E44" t="s">
        <v>561</v>
      </c>
      <c r="M44" t="s">
        <v>44</v>
      </c>
      <c r="BL44" s="59"/>
      <c r="BM44" s="59"/>
      <c r="BN44" s="60"/>
      <c r="BO44" s="60"/>
      <c r="BP44" s="62" t="s">
        <v>190</v>
      </c>
      <c r="BQ44" s="62">
        <v>1.2</v>
      </c>
      <c r="BR44" s="64"/>
      <c r="BS44" s="64"/>
      <c r="CE44" t="s">
        <v>682</v>
      </c>
      <c r="CF44" t="s">
        <v>1091</v>
      </c>
      <c r="CG44" t="s">
        <v>893</v>
      </c>
    </row>
    <row r="45" spans="1:85" x14ac:dyDescent="0.3">
      <c r="D45">
        <v>4</v>
      </c>
      <c r="E45" t="s">
        <v>560</v>
      </c>
      <c r="BL45" s="59"/>
      <c r="BM45" s="59"/>
      <c r="BN45" s="60"/>
      <c r="BO45" s="60"/>
      <c r="BP45" s="62" t="s">
        <v>191</v>
      </c>
      <c r="BQ45" s="62">
        <v>0.8</v>
      </c>
      <c r="BR45" s="64"/>
      <c r="BS45" s="64"/>
      <c r="CE45" t="s">
        <v>683</v>
      </c>
      <c r="CF45" t="s">
        <v>1092</v>
      </c>
      <c r="CG45" t="s">
        <v>894</v>
      </c>
    </row>
    <row r="46" spans="1:85" x14ac:dyDescent="0.3">
      <c r="D46">
        <v>4</v>
      </c>
      <c r="E46" t="s">
        <v>1665</v>
      </c>
      <c r="BL46" s="59"/>
      <c r="BM46" s="59"/>
      <c r="BN46" s="60"/>
      <c r="BO46" s="60"/>
      <c r="BP46" s="62" t="s">
        <v>192</v>
      </c>
      <c r="BQ46" s="62">
        <v>1.6</v>
      </c>
      <c r="BR46" s="64"/>
      <c r="BS46" s="64"/>
      <c r="CE46" t="s">
        <v>684</v>
      </c>
      <c r="CF46" t="s">
        <v>1093</v>
      </c>
      <c r="CG46" t="s">
        <v>895</v>
      </c>
    </row>
    <row r="47" spans="1:85" x14ac:dyDescent="0.3">
      <c r="D47">
        <v>4</v>
      </c>
      <c r="E47" t="s">
        <v>1664</v>
      </c>
      <c r="BL47" s="59"/>
      <c r="BM47" s="59"/>
      <c r="BN47" s="60"/>
      <c r="BO47" s="60"/>
      <c r="BP47" s="62" t="s">
        <v>193</v>
      </c>
      <c r="BQ47" s="62">
        <v>1.75</v>
      </c>
      <c r="BR47" s="64"/>
      <c r="BS47" s="64"/>
      <c r="CE47" t="s">
        <v>685</v>
      </c>
      <c r="CF47" t="s">
        <v>1224</v>
      </c>
      <c r="CG47" t="s">
        <v>896</v>
      </c>
    </row>
    <row r="48" spans="1:85" x14ac:dyDescent="0.3">
      <c r="D48">
        <v>4</v>
      </c>
      <c r="E48" t="s">
        <v>557</v>
      </c>
      <c r="BL48" s="59"/>
      <c r="BM48" s="59"/>
      <c r="BN48" s="60"/>
      <c r="BO48" s="60"/>
      <c r="BP48" s="62" t="s">
        <v>194</v>
      </c>
      <c r="BQ48" s="62">
        <v>1</v>
      </c>
      <c r="BR48" s="64"/>
      <c r="BS48" s="64"/>
      <c r="CE48" t="s">
        <v>686</v>
      </c>
      <c r="CF48" t="s">
        <v>1225</v>
      </c>
      <c r="CG48" t="s">
        <v>897</v>
      </c>
    </row>
    <row r="49" spans="4:85" x14ac:dyDescent="0.3">
      <c r="D49">
        <v>4</v>
      </c>
      <c r="E49" t="s">
        <v>579</v>
      </c>
      <c r="BL49" s="59"/>
      <c r="BM49" s="59"/>
      <c r="BN49" s="60"/>
      <c r="BO49" s="60"/>
      <c r="BP49" s="62" t="s">
        <v>601</v>
      </c>
      <c r="BQ49" s="62">
        <v>1.7</v>
      </c>
      <c r="BR49" s="64"/>
      <c r="BS49" s="64"/>
      <c r="CE49" t="s">
        <v>687</v>
      </c>
      <c r="CF49" t="s">
        <v>1226</v>
      </c>
      <c r="CG49" t="s">
        <v>898</v>
      </c>
    </row>
    <row r="50" spans="4:85" x14ac:dyDescent="0.3">
      <c r="D50">
        <v>4</v>
      </c>
      <c r="E50" t="s">
        <v>558</v>
      </c>
      <c r="BL50" s="59"/>
      <c r="BM50" s="59"/>
      <c r="BN50" s="60"/>
      <c r="BO50" s="60"/>
      <c r="BP50" s="62" t="s">
        <v>602</v>
      </c>
      <c r="BQ50" s="62">
        <v>1.7</v>
      </c>
      <c r="BR50" s="64"/>
      <c r="BS50" s="64"/>
      <c r="CE50" t="s">
        <v>688</v>
      </c>
      <c r="CF50" t="s">
        <v>1094</v>
      </c>
      <c r="CG50" t="s">
        <v>899</v>
      </c>
    </row>
    <row r="51" spans="4:85" x14ac:dyDescent="0.3">
      <c r="D51">
        <v>4</v>
      </c>
      <c r="E51" t="s">
        <v>559</v>
      </c>
      <c r="BL51" s="59"/>
      <c r="BM51" s="59"/>
      <c r="BN51" s="60"/>
      <c r="BO51" s="60"/>
      <c r="BP51" s="62" t="s">
        <v>603</v>
      </c>
      <c r="BQ51" s="62">
        <v>1.8</v>
      </c>
      <c r="BR51" s="64"/>
      <c r="BS51" s="64"/>
      <c r="CE51" t="s">
        <v>689</v>
      </c>
      <c r="CF51" t="s">
        <v>1095</v>
      </c>
      <c r="CG51" t="s">
        <v>900</v>
      </c>
    </row>
    <row r="52" spans="4:85" x14ac:dyDescent="0.3">
      <c r="BL52" s="59"/>
      <c r="BM52" s="59"/>
      <c r="BN52" s="60"/>
      <c r="BO52" s="60"/>
      <c r="BP52" s="62" t="s">
        <v>607</v>
      </c>
      <c r="BQ52" s="62">
        <v>1.5</v>
      </c>
      <c r="BR52" s="64"/>
      <c r="BS52" s="64"/>
      <c r="CE52" t="s">
        <v>690</v>
      </c>
      <c r="CF52" t="s">
        <v>1096</v>
      </c>
      <c r="CG52" t="s">
        <v>901</v>
      </c>
    </row>
    <row r="53" spans="4:85" x14ac:dyDescent="0.3">
      <c r="D53">
        <v>5</v>
      </c>
      <c r="BL53" s="59"/>
      <c r="BM53" s="59"/>
      <c r="BN53" s="60"/>
      <c r="BO53" s="60"/>
      <c r="BP53" s="62" t="s">
        <v>1299</v>
      </c>
      <c r="BQ53" s="62">
        <v>2.15</v>
      </c>
      <c r="BR53" s="64"/>
      <c r="BS53" s="64"/>
      <c r="CE53" t="s">
        <v>691</v>
      </c>
      <c r="CF53" t="s">
        <v>1097</v>
      </c>
      <c r="CG53" t="s">
        <v>902</v>
      </c>
    </row>
    <row r="54" spans="4:85" x14ac:dyDescent="0.3">
      <c r="D54">
        <v>5</v>
      </c>
      <c r="BL54" s="59"/>
      <c r="BM54" s="59"/>
      <c r="BN54" s="60"/>
      <c r="BO54" s="60"/>
      <c r="BP54" s="62" t="s">
        <v>1300</v>
      </c>
      <c r="BQ54" s="62">
        <v>1.75</v>
      </c>
      <c r="BR54" s="64"/>
      <c r="BS54" s="64"/>
      <c r="CE54" t="s">
        <v>692</v>
      </c>
      <c r="CF54" t="s">
        <v>1227</v>
      </c>
      <c r="CG54" t="s">
        <v>903</v>
      </c>
    </row>
    <row r="55" spans="4:85" x14ac:dyDescent="0.3">
      <c r="D55">
        <v>5</v>
      </c>
      <c r="BL55" s="59"/>
      <c r="BM55" s="59"/>
      <c r="BN55" s="60"/>
      <c r="BO55" s="60"/>
      <c r="BP55" s="62" t="s">
        <v>1301</v>
      </c>
      <c r="BQ55" s="62">
        <v>1.7</v>
      </c>
      <c r="BR55" s="64"/>
      <c r="BS55" s="64"/>
      <c r="CE55" t="s">
        <v>693</v>
      </c>
      <c r="CF55" t="s">
        <v>1228</v>
      </c>
      <c r="CG55" t="s">
        <v>904</v>
      </c>
    </row>
    <row r="56" spans="4:85" x14ac:dyDescent="0.3">
      <c r="D56">
        <v>5</v>
      </c>
      <c r="BL56" s="59"/>
      <c r="BM56" s="59"/>
      <c r="BN56" s="60"/>
      <c r="BO56" s="60"/>
      <c r="BP56" s="62" t="s">
        <v>1302</v>
      </c>
      <c r="BQ56" s="62">
        <v>1.45</v>
      </c>
      <c r="BR56" s="64"/>
      <c r="BS56" s="64"/>
      <c r="CE56" t="s">
        <v>694</v>
      </c>
      <c r="CF56" t="s">
        <v>1229</v>
      </c>
      <c r="CG56" t="s">
        <v>905</v>
      </c>
    </row>
    <row r="57" spans="4:85" x14ac:dyDescent="0.3">
      <c r="D57">
        <v>5</v>
      </c>
      <c r="BL57" s="59"/>
      <c r="BM57" s="59"/>
      <c r="BN57" s="60"/>
      <c r="BO57" s="60"/>
      <c r="BP57" s="62" t="s">
        <v>1308</v>
      </c>
      <c r="BQ57" s="62">
        <v>1.95</v>
      </c>
      <c r="BR57" s="64"/>
      <c r="BS57" s="64"/>
      <c r="CE57" t="s">
        <v>695</v>
      </c>
      <c r="CF57" t="s">
        <v>847</v>
      </c>
      <c r="CG57" t="s">
        <v>906</v>
      </c>
    </row>
    <row r="58" spans="4:85" x14ac:dyDescent="0.3">
      <c r="D58">
        <v>5</v>
      </c>
      <c r="BL58" s="59"/>
      <c r="BM58" s="59"/>
      <c r="BN58" s="60"/>
      <c r="BO58" s="60"/>
      <c r="BP58" s="62" t="s">
        <v>1397</v>
      </c>
      <c r="BQ58" s="62">
        <v>1.35</v>
      </c>
      <c r="BR58" s="64"/>
      <c r="BS58" s="64"/>
      <c r="CE58" t="s">
        <v>696</v>
      </c>
      <c r="CF58" t="s">
        <v>1098</v>
      </c>
      <c r="CG58" t="s">
        <v>907</v>
      </c>
    </row>
    <row r="59" spans="4:85" x14ac:dyDescent="0.3">
      <c r="D59">
        <v>5</v>
      </c>
      <c r="BL59" s="59"/>
      <c r="BM59" s="59"/>
      <c r="BN59" s="60"/>
      <c r="BO59" s="60"/>
      <c r="BP59" s="62" t="s">
        <v>1398</v>
      </c>
      <c r="BQ59" s="62">
        <v>1.8</v>
      </c>
      <c r="BR59" s="64"/>
      <c r="BS59" s="64"/>
      <c r="CE59" t="s">
        <v>697</v>
      </c>
      <c r="CF59" t="s">
        <v>1099</v>
      </c>
      <c r="CG59" t="s">
        <v>908</v>
      </c>
    </row>
    <row r="60" spans="4:85" x14ac:dyDescent="0.3">
      <c r="D60">
        <v>5</v>
      </c>
      <c r="BL60" s="59"/>
      <c r="BM60" s="59"/>
      <c r="BN60" s="60"/>
      <c r="BO60" s="60"/>
      <c r="BP60" s="62" t="s">
        <v>1404</v>
      </c>
      <c r="BQ60" s="62">
        <v>1.7</v>
      </c>
      <c r="BR60" s="64"/>
      <c r="BS60" s="64"/>
      <c r="CE60" t="s">
        <v>698</v>
      </c>
      <c r="CF60" t="s">
        <v>1100</v>
      </c>
      <c r="CG60" t="s">
        <v>909</v>
      </c>
    </row>
    <row r="61" spans="4:85" x14ac:dyDescent="0.3">
      <c r="BL61" s="59"/>
      <c r="BM61" s="59"/>
      <c r="BN61" s="60"/>
      <c r="BO61" s="60"/>
      <c r="BP61" s="62" t="s">
        <v>1407</v>
      </c>
      <c r="BQ61" s="62">
        <v>2</v>
      </c>
      <c r="BR61" s="64"/>
      <c r="BS61" s="64"/>
      <c r="CE61" t="s">
        <v>699</v>
      </c>
      <c r="CF61" t="s">
        <v>1230</v>
      </c>
      <c r="CG61" t="s">
        <v>910</v>
      </c>
    </row>
    <row r="62" spans="4:85" x14ac:dyDescent="0.3">
      <c r="BL62" s="59"/>
      <c r="BM62" s="59"/>
      <c r="BN62" s="60"/>
      <c r="BO62" s="60"/>
      <c r="BP62" s="62" t="s">
        <v>1410</v>
      </c>
      <c r="BQ62" s="62">
        <v>2.0499999999999998</v>
      </c>
      <c r="BR62" s="64"/>
      <c r="BS62" s="64"/>
      <c r="CE62" t="s">
        <v>700</v>
      </c>
      <c r="CF62" t="s">
        <v>1101</v>
      </c>
      <c r="CG62" t="s">
        <v>911</v>
      </c>
    </row>
    <row r="63" spans="4:85" x14ac:dyDescent="0.3">
      <c r="D63">
        <v>6</v>
      </c>
      <c r="E63" t="s">
        <v>18</v>
      </c>
      <c r="BL63" s="59"/>
      <c r="BM63" s="59"/>
      <c r="BN63" s="60"/>
      <c r="BO63" s="60"/>
      <c r="BP63" s="62" t="s">
        <v>1414</v>
      </c>
      <c r="BQ63" s="62">
        <v>2.2999999999999998</v>
      </c>
      <c r="BR63" s="64"/>
      <c r="BS63" s="64"/>
      <c r="CE63" t="s">
        <v>701</v>
      </c>
      <c r="CF63" t="s">
        <v>1102</v>
      </c>
      <c r="CG63" t="s">
        <v>912</v>
      </c>
    </row>
    <row r="64" spans="4:85" x14ac:dyDescent="0.3">
      <c r="D64">
        <v>6</v>
      </c>
      <c r="E64" t="s">
        <v>17</v>
      </c>
      <c r="BL64" s="59"/>
      <c r="BM64" s="59"/>
      <c r="BN64" s="60"/>
      <c r="BO64" s="60"/>
      <c r="BP64" s="62" t="s">
        <v>1415</v>
      </c>
      <c r="BQ64" s="62">
        <v>2.5499999999999998</v>
      </c>
      <c r="BR64" s="64"/>
      <c r="BS64" s="64"/>
      <c r="CE64" t="s">
        <v>702</v>
      </c>
      <c r="CF64" t="s">
        <v>1231</v>
      </c>
      <c r="CG64" t="s">
        <v>913</v>
      </c>
    </row>
    <row r="65" spans="4:85" x14ac:dyDescent="0.3">
      <c r="D65">
        <v>6</v>
      </c>
      <c r="E65" t="s">
        <v>1661</v>
      </c>
      <c r="BL65" s="59"/>
      <c r="BM65" s="59"/>
      <c r="BN65" s="60"/>
      <c r="BO65" s="60"/>
      <c r="BP65" s="62"/>
      <c r="BQ65" s="62"/>
      <c r="BR65" s="64"/>
      <c r="BS65" s="64"/>
      <c r="CE65" t="s">
        <v>703</v>
      </c>
      <c r="CF65" t="s">
        <v>1232</v>
      </c>
      <c r="CG65" t="s">
        <v>914</v>
      </c>
    </row>
    <row r="66" spans="4:85" x14ac:dyDescent="0.3">
      <c r="BL66" s="59"/>
      <c r="BM66" s="59"/>
      <c r="BN66" s="60"/>
      <c r="BO66" s="60"/>
      <c r="BP66" s="62"/>
      <c r="BQ66" s="62"/>
      <c r="BR66" s="64"/>
      <c r="BS66" s="64"/>
      <c r="CE66" t="s">
        <v>704</v>
      </c>
      <c r="CF66" t="s">
        <v>1103</v>
      </c>
      <c r="CG66" t="s">
        <v>915</v>
      </c>
    </row>
    <row r="67" spans="4:85" x14ac:dyDescent="0.3">
      <c r="BK67" s="8">
        <v>3</v>
      </c>
      <c r="BL67" s="59" t="s">
        <v>226</v>
      </c>
      <c r="BM67" s="59">
        <v>0.05</v>
      </c>
      <c r="BN67" s="60"/>
      <c r="BO67" s="60"/>
      <c r="BP67" s="62" t="s">
        <v>222</v>
      </c>
      <c r="BQ67" s="62">
        <v>0.05</v>
      </c>
      <c r="BR67" s="64"/>
      <c r="BS67" s="64"/>
      <c r="CE67" t="s">
        <v>705</v>
      </c>
      <c r="CF67" t="s">
        <v>1104</v>
      </c>
      <c r="CG67" t="s">
        <v>916</v>
      </c>
    </row>
    <row r="68" spans="4:85" x14ac:dyDescent="0.3">
      <c r="BL68" s="59" t="s">
        <v>222</v>
      </c>
      <c r="BM68" s="59">
        <v>0.05</v>
      </c>
      <c r="BN68" s="60"/>
      <c r="BO68" s="60"/>
      <c r="BP68" s="62" t="s">
        <v>223</v>
      </c>
      <c r="BQ68" s="62">
        <v>0.1</v>
      </c>
      <c r="BR68" s="64"/>
      <c r="BS68" s="64"/>
      <c r="CE68" t="s">
        <v>706</v>
      </c>
      <c r="CF68" t="s">
        <v>1105</v>
      </c>
      <c r="CG68" t="s">
        <v>917</v>
      </c>
    </row>
    <row r="69" spans="4:85" x14ac:dyDescent="0.3">
      <c r="BL69" s="59" t="s">
        <v>223</v>
      </c>
      <c r="BM69" s="59">
        <v>0.1</v>
      </c>
      <c r="BN69" s="60"/>
      <c r="BO69" s="60"/>
      <c r="BP69" s="62" t="s">
        <v>224</v>
      </c>
      <c r="BQ69" s="62">
        <v>0.15</v>
      </c>
      <c r="BR69" s="64"/>
      <c r="BS69" s="64"/>
      <c r="CE69" t="s">
        <v>707</v>
      </c>
      <c r="CF69" t="s">
        <v>1106</v>
      </c>
      <c r="CG69" t="s">
        <v>918</v>
      </c>
    </row>
    <row r="70" spans="4:85" x14ac:dyDescent="0.3">
      <c r="BL70" s="59" t="s">
        <v>224</v>
      </c>
      <c r="BM70" s="59">
        <v>0.15</v>
      </c>
      <c r="BN70" s="60"/>
      <c r="BO70" s="60"/>
      <c r="BP70" s="62" t="s">
        <v>225</v>
      </c>
      <c r="BQ70" s="62">
        <v>0.2</v>
      </c>
      <c r="BR70" s="64"/>
      <c r="BS70" s="64"/>
      <c r="CE70" t="s">
        <v>708</v>
      </c>
      <c r="CF70" t="s">
        <v>1234</v>
      </c>
      <c r="CG70" t="s">
        <v>919</v>
      </c>
    </row>
    <row r="71" spans="4:85" x14ac:dyDescent="0.3">
      <c r="BL71" s="59" t="s">
        <v>225</v>
      </c>
      <c r="BM71" s="59">
        <v>0.2</v>
      </c>
      <c r="BN71" s="60"/>
      <c r="BO71" s="60"/>
      <c r="BP71" s="62" t="s">
        <v>226</v>
      </c>
      <c r="BQ71" s="62">
        <v>0.05</v>
      </c>
      <c r="BR71" s="64"/>
      <c r="BS71" s="64"/>
      <c r="CE71" t="s">
        <v>709</v>
      </c>
      <c r="CF71" t="s">
        <v>1233</v>
      </c>
      <c r="CG71" t="s">
        <v>920</v>
      </c>
    </row>
    <row r="72" spans="4:85" x14ac:dyDescent="0.3">
      <c r="BL72" s="59" t="s">
        <v>227</v>
      </c>
      <c r="BM72" s="59">
        <v>0.2</v>
      </c>
      <c r="BN72" s="60"/>
      <c r="BO72" s="60"/>
      <c r="BP72" s="62" t="s">
        <v>227</v>
      </c>
      <c r="BQ72" s="62">
        <v>0.2</v>
      </c>
      <c r="BR72" s="64"/>
      <c r="BS72" s="64"/>
      <c r="CE72" t="s">
        <v>710</v>
      </c>
      <c r="CF72" t="s">
        <v>1107</v>
      </c>
      <c r="CG72" t="s">
        <v>921</v>
      </c>
    </row>
    <row r="73" spans="4:85" x14ac:dyDescent="0.3">
      <c r="D73">
        <v>7</v>
      </c>
      <c r="E73" t="s">
        <v>18</v>
      </c>
      <c r="BL73" s="59"/>
      <c r="BM73" s="59"/>
      <c r="BN73" s="60"/>
      <c r="BO73" s="60"/>
      <c r="BP73" s="62"/>
      <c r="BQ73" s="62"/>
      <c r="BR73" s="64"/>
      <c r="BS73" s="64"/>
      <c r="CE73" t="s">
        <v>711</v>
      </c>
      <c r="CF73" t="s">
        <v>1108</v>
      </c>
      <c r="CG73" t="s">
        <v>922</v>
      </c>
    </row>
    <row r="74" spans="4:85" x14ac:dyDescent="0.3">
      <c r="D74">
        <v>7</v>
      </c>
      <c r="E74" t="s">
        <v>17</v>
      </c>
      <c r="BL74" s="59"/>
      <c r="BM74" s="59"/>
      <c r="BN74" s="60"/>
      <c r="BO74" s="60"/>
      <c r="BP74" s="62"/>
      <c r="BQ74" s="62"/>
      <c r="BR74" s="64"/>
      <c r="BS74" s="64"/>
      <c r="CE74" t="s">
        <v>712</v>
      </c>
      <c r="CF74" t="s">
        <v>1109</v>
      </c>
      <c r="CG74" t="s">
        <v>923</v>
      </c>
    </row>
    <row r="75" spans="4:85" x14ac:dyDescent="0.3">
      <c r="D75">
        <v>7</v>
      </c>
      <c r="E75" t="s">
        <v>1661</v>
      </c>
      <c r="BL75" s="59"/>
      <c r="BM75" s="59"/>
      <c r="BN75" s="60"/>
      <c r="BO75" s="60"/>
      <c r="BP75" s="62"/>
      <c r="BQ75" s="62"/>
      <c r="BR75" s="64"/>
      <c r="BS75" s="64"/>
      <c r="CE75" t="s">
        <v>713</v>
      </c>
      <c r="CF75" t="s">
        <v>1110</v>
      </c>
      <c r="CG75" t="s">
        <v>924</v>
      </c>
    </row>
    <row r="76" spans="4:85" x14ac:dyDescent="0.3">
      <c r="D76">
        <v>7</v>
      </c>
      <c r="E76" t="s">
        <v>1662</v>
      </c>
      <c r="BL76" s="59"/>
      <c r="BM76" s="59"/>
      <c r="BN76" s="60"/>
      <c r="BO76" s="60"/>
      <c r="BP76" s="62"/>
      <c r="BQ76" s="62"/>
      <c r="BR76" s="64"/>
      <c r="BS76" s="64"/>
      <c r="CE76" t="s">
        <v>714</v>
      </c>
      <c r="CF76" t="s">
        <v>1111</v>
      </c>
      <c r="CG76" t="s">
        <v>925</v>
      </c>
    </row>
    <row r="77" spans="4:85" x14ac:dyDescent="0.3">
      <c r="BK77" s="8">
        <v>4</v>
      </c>
      <c r="BL77" s="59" t="s">
        <v>411</v>
      </c>
      <c r="BM77" s="59">
        <v>0.05</v>
      </c>
      <c r="BN77" s="60" t="s">
        <v>279</v>
      </c>
      <c r="BO77" s="60">
        <v>1.1000000000000001</v>
      </c>
      <c r="BP77" s="62" t="s">
        <v>277</v>
      </c>
      <c r="BQ77" s="62">
        <v>0.05</v>
      </c>
      <c r="BR77" s="64" t="s">
        <v>228</v>
      </c>
      <c r="BS77" s="64">
        <v>0.05</v>
      </c>
      <c r="BU77" s="62" t="s">
        <v>412</v>
      </c>
      <c r="BV77" s="62">
        <v>0.05</v>
      </c>
      <c r="BX77" s="128">
        <f t="shared" ref="BX77:BX123" si="2">LEN(BN77)</f>
        <v>3</v>
      </c>
      <c r="BY77" s="60" t="str">
        <f t="shared" ref="BY77:BY123" si="3">CONCATENATE(BX77,BN77)</f>
        <v>3PPx</v>
      </c>
      <c r="BZ77" s="60">
        <v>1.1000000000000001</v>
      </c>
      <c r="CE77" t="s">
        <v>715</v>
      </c>
      <c r="CF77" t="s">
        <v>1112</v>
      </c>
      <c r="CG77" t="s">
        <v>926</v>
      </c>
    </row>
    <row r="78" spans="4:85" x14ac:dyDescent="0.3">
      <c r="BL78" s="59" t="s">
        <v>413</v>
      </c>
      <c r="BM78" s="59">
        <v>0.1</v>
      </c>
      <c r="BN78" s="60" t="s">
        <v>135</v>
      </c>
      <c r="BO78" s="60">
        <v>1</v>
      </c>
      <c r="BP78" s="62" t="s">
        <v>278</v>
      </c>
      <c r="BQ78" s="62">
        <v>0.1</v>
      </c>
      <c r="BR78" s="64" t="s">
        <v>229</v>
      </c>
      <c r="BS78" s="64">
        <v>0.1</v>
      </c>
      <c r="BU78" s="62" t="s">
        <v>414</v>
      </c>
      <c r="BV78" s="62">
        <v>0.1</v>
      </c>
      <c r="BX78" s="128">
        <f t="shared" si="2"/>
        <v>2</v>
      </c>
      <c r="BY78" s="60" t="str">
        <f t="shared" si="3"/>
        <v>2PP</v>
      </c>
      <c r="BZ78" s="60">
        <v>1</v>
      </c>
      <c r="CE78" t="s">
        <v>716</v>
      </c>
      <c r="CF78" t="s">
        <v>1113</v>
      </c>
      <c r="CG78" t="s">
        <v>927</v>
      </c>
    </row>
    <row r="79" spans="4:85" x14ac:dyDescent="0.3">
      <c r="BL79" s="59" t="s">
        <v>415</v>
      </c>
      <c r="BM79" s="59">
        <v>0.15</v>
      </c>
      <c r="BN79" s="60" t="s">
        <v>280</v>
      </c>
      <c r="BO79" s="60">
        <v>1.05</v>
      </c>
      <c r="BP79" s="62" t="s">
        <v>411</v>
      </c>
      <c r="BQ79" s="62">
        <v>0.05</v>
      </c>
      <c r="BR79" s="64" t="s">
        <v>230</v>
      </c>
      <c r="BS79" s="64">
        <v>0.1</v>
      </c>
      <c r="BU79" s="62" t="s">
        <v>416</v>
      </c>
      <c r="BV79" s="62">
        <v>0.15</v>
      </c>
      <c r="BX79" s="128">
        <f t="shared" si="2"/>
        <v>3</v>
      </c>
      <c r="BY79" s="60" t="str">
        <f t="shared" si="3"/>
        <v>3FPx</v>
      </c>
      <c r="BZ79" s="60">
        <v>1.05</v>
      </c>
      <c r="CE79" t="s">
        <v>717</v>
      </c>
      <c r="CF79" t="s">
        <v>1114</v>
      </c>
      <c r="CG79" t="s">
        <v>928</v>
      </c>
    </row>
    <row r="80" spans="4:85" x14ac:dyDescent="0.3">
      <c r="BL80" s="59" t="s">
        <v>417</v>
      </c>
      <c r="BM80" s="59">
        <v>0.15</v>
      </c>
      <c r="BN80" s="60" t="s">
        <v>281</v>
      </c>
      <c r="BO80" s="60">
        <v>0.95</v>
      </c>
      <c r="BP80" s="62" t="s">
        <v>413</v>
      </c>
      <c r="BQ80" s="62">
        <v>0.1</v>
      </c>
      <c r="BR80" s="64" t="s">
        <v>231</v>
      </c>
      <c r="BS80" s="64">
        <v>0.1</v>
      </c>
      <c r="BU80" s="62" t="s">
        <v>418</v>
      </c>
      <c r="BV80" s="62">
        <v>0.1</v>
      </c>
      <c r="BX80" s="128">
        <f t="shared" si="2"/>
        <v>2</v>
      </c>
      <c r="BY80" s="60" t="str">
        <f t="shared" si="3"/>
        <v>2FP</v>
      </c>
      <c r="BZ80" s="60">
        <v>0.95</v>
      </c>
      <c r="CE80" t="s">
        <v>718</v>
      </c>
      <c r="CF80" t="s">
        <v>1115</v>
      </c>
      <c r="CG80" t="s">
        <v>929</v>
      </c>
    </row>
    <row r="81" spans="4:85" x14ac:dyDescent="0.3">
      <c r="BL81" s="59" t="s">
        <v>419</v>
      </c>
      <c r="BM81" s="59">
        <v>0.2</v>
      </c>
      <c r="BN81" s="60" t="s">
        <v>282</v>
      </c>
      <c r="BO81" s="60">
        <v>0.7</v>
      </c>
      <c r="BP81" s="62" t="s">
        <v>415</v>
      </c>
      <c r="BQ81" s="62">
        <v>0.15</v>
      </c>
      <c r="BR81" s="64" t="s">
        <v>232</v>
      </c>
      <c r="BS81" s="64">
        <v>0.3</v>
      </c>
      <c r="BU81" s="62" t="s">
        <v>420</v>
      </c>
      <c r="BV81" s="62">
        <v>0.2</v>
      </c>
      <c r="BX81" s="128">
        <f t="shared" si="2"/>
        <v>2</v>
      </c>
      <c r="BY81" s="60" t="str">
        <f t="shared" si="3"/>
        <v>2FF</v>
      </c>
      <c r="BZ81" s="60">
        <v>0.7</v>
      </c>
      <c r="CE81" t="s">
        <v>719</v>
      </c>
      <c r="CF81" t="s">
        <v>1235</v>
      </c>
      <c r="CG81" t="s">
        <v>930</v>
      </c>
    </row>
    <row r="82" spans="4:85" x14ac:dyDescent="0.3">
      <c r="BL82" s="59" t="s">
        <v>421</v>
      </c>
      <c r="BM82" s="59">
        <v>0.05</v>
      </c>
      <c r="BN82" s="60" t="s">
        <v>136</v>
      </c>
      <c r="BO82" s="60">
        <v>0.45</v>
      </c>
      <c r="BP82" s="62" t="s">
        <v>417</v>
      </c>
      <c r="BQ82" s="62">
        <v>0.15</v>
      </c>
      <c r="BR82" s="64" t="s">
        <v>233</v>
      </c>
      <c r="BS82" s="64">
        <v>0.1</v>
      </c>
      <c r="BU82" s="62" t="s">
        <v>422</v>
      </c>
      <c r="BV82" s="62">
        <v>0.05</v>
      </c>
      <c r="BX82" s="128">
        <f t="shared" si="2"/>
        <v>2</v>
      </c>
      <c r="BY82" s="60" t="str">
        <f t="shared" si="3"/>
        <v>2PF</v>
      </c>
      <c r="BZ82" s="60">
        <v>0.45</v>
      </c>
      <c r="CE82" t="s">
        <v>720</v>
      </c>
      <c r="CF82" t="s">
        <v>1116</v>
      </c>
      <c r="CG82" t="s">
        <v>931</v>
      </c>
    </row>
    <row r="83" spans="4:85" x14ac:dyDescent="0.3">
      <c r="D83">
        <v>8</v>
      </c>
      <c r="E83" t="s">
        <v>18</v>
      </c>
      <c r="BL83" s="59" t="s">
        <v>1309</v>
      </c>
      <c r="BM83" s="59">
        <v>0.1</v>
      </c>
      <c r="BN83" s="60" t="s">
        <v>283</v>
      </c>
      <c r="BO83" s="60">
        <v>0.5</v>
      </c>
      <c r="BP83" s="62" t="s">
        <v>419</v>
      </c>
      <c r="BQ83" s="62">
        <v>0.2</v>
      </c>
      <c r="BR83" s="64" t="s">
        <v>234</v>
      </c>
      <c r="BS83" s="64">
        <v>0.2</v>
      </c>
      <c r="BU83" s="62" t="s">
        <v>1310</v>
      </c>
      <c r="BV83" s="62">
        <v>0.1</v>
      </c>
      <c r="BX83" s="128">
        <f t="shared" si="2"/>
        <v>4</v>
      </c>
      <c r="BY83" s="60" t="str">
        <f t="shared" si="3"/>
        <v>4SiSb</v>
      </c>
      <c r="BZ83" s="60">
        <v>0.5</v>
      </c>
      <c r="CE83" t="s">
        <v>721</v>
      </c>
      <c r="CF83" t="s">
        <v>1117</v>
      </c>
      <c r="CG83" t="s">
        <v>932</v>
      </c>
    </row>
    <row r="84" spans="4:85" x14ac:dyDescent="0.3">
      <c r="D84">
        <v>8</v>
      </c>
      <c r="E84" t="s">
        <v>1663</v>
      </c>
      <c r="BL84" s="59" t="s">
        <v>1311</v>
      </c>
      <c r="BM84" s="59">
        <v>0.1</v>
      </c>
      <c r="BN84" s="60" t="s">
        <v>284</v>
      </c>
      <c r="BO84" s="60">
        <v>0.3</v>
      </c>
      <c r="BP84" s="62" t="s">
        <v>421</v>
      </c>
      <c r="BQ84" s="62">
        <v>0.05</v>
      </c>
      <c r="BR84" s="64" t="s">
        <v>235</v>
      </c>
      <c r="BS84" s="64">
        <v>0.1</v>
      </c>
      <c r="BU84" s="62" t="s">
        <v>1312</v>
      </c>
      <c r="BV84" s="62">
        <v>0.1</v>
      </c>
      <c r="BX84" s="128">
        <f t="shared" si="2"/>
        <v>2</v>
      </c>
      <c r="BY84" s="60" t="str">
        <f t="shared" si="3"/>
        <v>2Bp</v>
      </c>
      <c r="BZ84" s="60">
        <v>0.3</v>
      </c>
      <c r="CE84" t="s">
        <v>722</v>
      </c>
      <c r="CF84" t="s">
        <v>1118</v>
      </c>
      <c r="CG84" t="s">
        <v>933</v>
      </c>
    </row>
    <row r="85" spans="4:85" x14ac:dyDescent="0.3">
      <c r="D85">
        <v>8</v>
      </c>
      <c r="E85" t="s">
        <v>17</v>
      </c>
      <c r="BL85" s="59" t="s">
        <v>423</v>
      </c>
      <c r="BM85" s="59">
        <v>0.3</v>
      </c>
      <c r="BN85" s="60" t="s">
        <v>285</v>
      </c>
      <c r="BO85" s="60">
        <v>0.3</v>
      </c>
      <c r="BP85" s="62" t="s">
        <v>1309</v>
      </c>
      <c r="BQ85" s="62">
        <v>0.1</v>
      </c>
      <c r="BR85" s="64" t="s">
        <v>236</v>
      </c>
      <c r="BS85" s="64">
        <v>0.05</v>
      </c>
      <c r="BU85" s="62" t="s">
        <v>424</v>
      </c>
      <c r="BV85" s="62">
        <v>0.15</v>
      </c>
      <c r="BX85" s="128">
        <f t="shared" si="2"/>
        <v>3</v>
      </c>
      <c r="BY85" s="60" t="str">
        <f t="shared" si="3"/>
        <v>3ShF</v>
      </c>
      <c r="BZ85" s="60">
        <v>0.3</v>
      </c>
      <c r="CE85" t="s">
        <v>723</v>
      </c>
      <c r="CF85" t="s">
        <v>1119</v>
      </c>
      <c r="CG85" t="s">
        <v>934</v>
      </c>
    </row>
    <row r="86" spans="4:85" x14ac:dyDescent="0.3">
      <c r="D86">
        <v>8</v>
      </c>
      <c r="E86" t="s">
        <v>1661</v>
      </c>
      <c r="BL86" s="59" t="s">
        <v>425</v>
      </c>
      <c r="BM86" s="59">
        <v>0.1</v>
      </c>
      <c r="BN86" s="60" t="s">
        <v>286</v>
      </c>
      <c r="BO86" s="60">
        <v>0.45</v>
      </c>
      <c r="BP86" s="62" t="s">
        <v>1311</v>
      </c>
      <c r="BQ86" s="62">
        <v>0.1</v>
      </c>
      <c r="BR86" s="64" t="s">
        <v>237</v>
      </c>
      <c r="BS86" s="64">
        <v>0.2</v>
      </c>
      <c r="BU86" s="62" t="s">
        <v>426</v>
      </c>
      <c r="BV86" s="62">
        <v>0.1</v>
      </c>
      <c r="BX86" s="128">
        <f t="shared" si="2"/>
        <v>1</v>
      </c>
      <c r="BY86" s="60" t="str">
        <f t="shared" si="3"/>
        <v>1E</v>
      </c>
      <c r="BZ86" s="60">
        <v>0.45</v>
      </c>
      <c r="CE86" t="s">
        <v>724</v>
      </c>
      <c r="CF86" t="s">
        <v>848</v>
      </c>
      <c r="CG86" t="s">
        <v>935</v>
      </c>
    </row>
    <row r="87" spans="4:85" x14ac:dyDescent="0.3">
      <c r="D87">
        <v>8</v>
      </c>
      <c r="E87" t="s">
        <v>1667</v>
      </c>
      <c r="BL87" s="59" t="s">
        <v>427</v>
      </c>
      <c r="BM87" s="59">
        <v>0.1</v>
      </c>
      <c r="BN87" s="60" t="s">
        <v>287</v>
      </c>
      <c r="BO87" s="60">
        <v>0.5</v>
      </c>
      <c r="BP87" s="62" t="s">
        <v>423</v>
      </c>
      <c r="BQ87" s="62">
        <v>0.3</v>
      </c>
      <c r="BR87" s="64" t="s">
        <v>238</v>
      </c>
      <c r="BS87" s="64">
        <v>0.2</v>
      </c>
      <c r="BU87" s="62" t="s">
        <v>428</v>
      </c>
      <c r="BV87" s="62">
        <v>0.1</v>
      </c>
      <c r="BX87" s="128">
        <f t="shared" si="2"/>
        <v>1</v>
      </c>
      <c r="BY87" s="60" t="str">
        <f t="shared" si="3"/>
        <v>1I</v>
      </c>
      <c r="BZ87" s="60">
        <v>0.5</v>
      </c>
      <c r="CE87" t="s">
        <v>725</v>
      </c>
      <c r="CF87" t="s">
        <v>1236</v>
      </c>
      <c r="CG87" t="s">
        <v>849</v>
      </c>
    </row>
    <row r="88" spans="4:85" x14ac:dyDescent="0.3">
      <c r="D88">
        <v>8</v>
      </c>
      <c r="E88" t="s">
        <v>1662</v>
      </c>
      <c r="BL88" s="59" t="s">
        <v>429</v>
      </c>
      <c r="BM88" s="59">
        <v>0.15</v>
      </c>
      <c r="BN88" s="60" t="s">
        <v>288</v>
      </c>
      <c r="BO88" s="60">
        <v>0.8</v>
      </c>
      <c r="BP88" s="62" t="s">
        <v>425</v>
      </c>
      <c r="BQ88" s="62">
        <v>0.1</v>
      </c>
      <c r="BR88" s="64" t="s">
        <v>239</v>
      </c>
      <c r="BS88" s="64">
        <v>0.2</v>
      </c>
      <c r="BU88" s="62" t="s">
        <v>430</v>
      </c>
      <c r="BV88" s="62">
        <v>0.1</v>
      </c>
      <c r="BX88" s="128">
        <f t="shared" si="2"/>
        <v>3</v>
      </c>
      <c r="BY88" s="60" t="str">
        <f t="shared" si="3"/>
        <v>3PH/</v>
      </c>
      <c r="BZ88" s="60">
        <v>0.8</v>
      </c>
      <c r="CE88" t="s">
        <v>726</v>
      </c>
      <c r="CF88" t="s">
        <v>1120</v>
      </c>
      <c r="CG88" t="s">
        <v>936</v>
      </c>
    </row>
    <row r="89" spans="4:85" x14ac:dyDescent="0.3">
      <c r="BL89" s="59" t="s">
        <v>431</v>
      </c>
      <c r="BM89" s="59">
        <v>0.2</v>
      </c>
      <c r="BN89" s="60" t="s">
        <v>289</v>
      </c>
      <c r="BO89" s="60">
        <v>0.3</v>
      </c>
      <c r="BP89" s="62" t="s">
        <v>427</v>
      </c>
      <c r="BQ89" s="62">
        <v>0.1</v>
      </c>
      <c r="BR89" s="64" t="s">
        <v>240</v>
      </c>
      <c r="BS89" s="64">
        <v>0.3</v>
      </c>
      <c r="BU89" s="62" t="s">
        <v>432</v>
      </c>
      <c r="BV89" s="62">
        <v>0.15</v>
      </c>
      <c r="BX89" s="128">
        <f t="shared" si="2"/>
        <v>4</v>
      </c>
      <c r="BY89" s="60" t="str">
        <f t="shared" si="3"/>
        <v>4Li4H</v>
      </c>
      <c r="BZ89" s="60">
        <v>0.3</v>
      </c>
      <c r="CE89" t="s">
        <v>727</v>
      </c>
      <c r="CF89" t="s">
        <v>1121</v>
      </c>
      <c r="CG89" t="s">
        <v>937</v>
      </c>
    </row>
    <row r="90" spans="4:85" x14ac:dyDescent="0.3">
      <c r="BL90" s="59" t="s">
        <v>433</v>
      </c>
      <c r="BM90" s="59">
        <v>0.25</v>
      </c>
      <c r="BN90" s="60" t="s">
        <v>290</v>
      </c>
      <c r="BO90" s="60">
        <v>0.4</v>
      </c>
      <c r="BP90" s="62" t="s">
        <v>429</v>
      </c>
      <c r="BQ90" s="62">
        <v>0.15</v>
      </c>
      <c r="BR90" s="64" t="s">
        <v>241</v>
      </c>
      <c r="BS90" s="64">
        <v>0.2</v>
      </c>
      <c r="BU90" s="62" t="s">
        <v>434</v>
      </c>
      <c r="BV90" s="62">
        <v>0.2</v>
      </c>
      <c r="BX90" s="128">
        <f t="shared" si="2"/>
        <v>1</v>
      </c>
      <c r="BY90" s="60" t="str">
        <f t="shared" si="3"/>
        <v>1W</v>
      </c>
      <c r="BZ90" s="60">
        <v>0.4</v>
      </c>
      <c r="CE90" t="s">
        <v>728</v>
      </c>
      <c r="CF90" t="s">
        <v>1122</v>
      </c>
      <c r="CG90" t="s">
        <v>938</v>
      </c>
    </row>
    <row r="91" spans="4:85" x14ac:dyDescent="0.3">
      <c r="BL91" s="59"/>
      <c r="BM91" s="59"/>
      <c r="BN91" s="60" t="s">
        <v>291</v>
      </c>
      <c r="BO91" s="60">
        <v>0.4</v>
      </c>
      <c r="BP91" s="62" t="s">
        <v>431</v>
      </c>
      <c r="BQ91" s="62">
        <v>0.2</v>
      </c>
      <c r="BR91" s="64" t="s">
        <v>242</v>
      </c>
      <c r="BS91" s="64">
        <v>0.2</v>
      </c>
      <c r="BU91" s="62" t="s">
        <v>576</v>
      </c>
      <c r="BV91" s="62">
        <v>0.05</v>
      </c>
      <c r="BX91" s="128">
        <f t="shared" si="2"/>
        <v>2</v>
      </c>
      <c r="BY91" s="60" t="str">
        <f t="shared" si="3"/>
        <v>2Py</v>
      </c>
      <c r="BZ91" s="60">
        <v>0.4</v>
      </c>
      <c r="CE91" t="s">
        <v>729</v>
      </c>
      <c r="CF91" t="s">
        <v>1237</v>
      </c>
      <c r="CG91" t="s">
        <v>939</v>
      </c>
    </row>
    <row r="92" spans="4:85" x14ac:dyDescent="0.3">
      <c r="BL92" s="59"/>
      <c r="BM92" s="59"/>
      <c r="BN92" s="60" t="s">
        <v>292</v>
      </c>
      <c r="BO92" s="60">
        <v>0.45</v>
      </c>
      <c r="BP92" s="62" t="s">
        <v>433</v>
      </c>
      <c r="BQ92" s="62">
        <v>0.25</v>
      </c>
      <c r="BR92" s="64" t="s">
        <v>243</v>
      </c>
      <c r="BS92" s="64">
        <v>0.1</v>
      </c>
      <c r="BU92" s="62" t="s">
        <v>322</v>
      </c>
      <c r="BV92" s="62">
        <v>0.05</v>
      </c>
      <c r="BX92" s="128">
        <f t="shared" si="2"/>
        <v>2</v>
      </c>
      <c r="BY92" s="60" t="str">
        <f t="shared" si="3"/>
        <v>2AP</v>
      </c>
      <c r="BZ92" s="60">
        <v>0.45</v>
      </c>
      <c r="CE92" t="s">
        <v>730</v>
      </c>
      <c r="CF92" t="s">
        <v>1123</v>
      </c>
      <c r="CG92" t="s">
        <v>940</v>
      </c>
    </row>
    <row r="93" spans="4:85" x14ac:dyDescent="0.3">
      <c r="D93">
        <v>9</v>
      </c>
      <c r="E93" t="s">
        <v>18</v>
      </c>
      <c r="BL93" s="59" t="s">
        <v>412</v>
      </c>
      <c r="BM93" s="59">
        <v>0.05</v>
      </c>
      <c r="BN93" s="60" t="s">
        <v>293</v>
      </c>
      <c r="BO93" s="60">
        <v>0.1</v>
      </c>
      <c r="BP93" s="62" t="s">
        <v>320</v>
      </c>
      <c r="BQ93" s="62">
        <v>0.1</v>
      </c>
      <c r="BR93" s="64" t="s">
        <v>244</v>
      </c>
      <c r="BS93" s="64">
        <v>0.3</v>
      </c>
      <c r="BU93" s="62" t="s">
        <v>324</v>
      </c>
      <c r="BV93" s="62">
        <v>0.1</v>
      </c>
      <c r="BX93" s="128">
        <f t="shared" si="2"/>
        <v>4</v>
      </c>
      <c r="BY93" s="60" t="str">
        <f t="shared" si="3"/>
        <v>4ShF*</v>
      </c>
      <c r="BZ93" s="60">
        <v>0.1</v>
      </c>
      <c r="CE93" t="s">
        <v>731</v>
      </c>
      <c r="CF93" t="s">
        <v>1124</v>
      </c>
      <c r="CG93" t="s">
        <v>941</v>
      </c>
    </row>
    <row r="94" spans="4:85" x14ac:dyDescent="0.3">
      <c r="D94">
        <v>9</v>
      </c>
      <c r="E94" t="s">
        <v>17</v>
      </c>
      <c r="BL94" s="59" t="s">
        <v>414</v>
      </c>
      <c r="BM94" s="59">
        <v>0.1</v>
      </c>
      <c r="BN94" s="60" t="s">
        <v>294</v>
      </c>
      <c r="BO94" s="60">
        <v>0.1</v>
      </c>
      <c r="BP94" s="62" t="s">
        <v>321</v>
      </c>
      <c r="BQ94" s="62">
        <v>0.15</v>
      </c>
      <c r="BR94" s="64" t="s">
        <v>245</v>
      </c>
      <c r="BS94" s="64">
        <v>0.1</v>
      </c>
      <c r="BU94" s="62" t="s">
        <v>327</v>
      </c>
      <c r="BV94" s="62">
        <v>0.2</v>
      </c>
      <c r="BX94" s="128">
        <f t="shared" si="2"/>
        <v>2</v>
      </c>
      <c r="BY94" s="60" t="str">
        <f t="shared" si="3"/>
        <v>2Su</v>
      </c>
      <c r="BZ94" s="60">
        <v>0.1</v>
      </c>
      <c r="CE94" t="s">
        <v>732</v>
      </c>
      <c r="CF94" t="s">
        <v>1125</v>
      </c>
      <c r="CG94" t="s">
        <v>942</v>
      </c>
    </row>
    <row r="95" spans="4:85" x14ac:dyDescent="0.3">
      <c r="D95">
        <v>9</v>
      </c>
      <c r="E95" t="s">
        <v>1661</v>
      </c>
      <c r="BL95" s="59" t="s">
        <v>416</v>
      </c>
      <c r="BM95" s="59">
        <v>0.15</v>
      </c>
      <c r="BN95" s="60" t="s">
        <v>295</v>
      </c>
      <c r="BO95" s="60">
        <v>0.15</v>
      </c>
      <c r="BP95" s="62" t="s">
        <v>323</v>
      </c>
      <c r="BQ95" s="62">
        <v>0.2</v>
      </c>
      <c r="BR95" s="64" t="s">
        <v>246</v>
      </c>
      <c r="BS95" s="64">
        <v>0.3</v>
      </c>
      <c r="BU95" s="62" t="s">
        <v>328</v>
      </c>
      <c r="BV95" s="62">
        <v>0.3</v>
      </c>
      <c r="BX95" s="128">
        <f t="shared" si="2"/>
        <v>2</v>
      </c>
      <c r="BY95" s="60" t="str">
        <f t="shared" si="3"/>
        <v>2Ta</v>
      </c>
      <c r="BZ95" s="60">
        <v>0.15</v>
      </c>
      <c r="CE95" t="s">
        <v>733</v>
      </c>
      <c r="CF95" t="s">
        <v>1126</v>
      </c>
      <c r="CG95" t="s">
        <v>943</v>
      </c>
    </row>
    <row r="96" spans="4:85" x14ac:dyDescent="0.3">
      <c r="D96">
        <v>9</v>
      </c>
      <c r="E96" t="s">
        <v>557</v>
      </c>
      <c r="BL96" s="59" t="s">
        <v>418</v>
      </c>
      <c r="BM96" s="59">
        <v>0.1</v>
      </c>
      <c r="BN96" s="60" t="s">
        <v>296</v>
      </c>
      <c r="BO96" s="60">
        <v>0.1</v>
      </c>
      <c r="BP96" s="62" t="s">
        <v>325</v>
      </c>
      <c r="BQ96" s="62">
        <v>0.25</v>
      </c>
      <c r="BR96" s="64" t="s">
        <v>247</v>
      </c>
      <c r="BS96" s="64">
        <v>0.2</v>
      </c>
      <c r="BU96" s="62" t="s">
        <v>330</v>
      </c>
      <c r="BV96" s="62">
        <v>0.3</v>
      </c>
      <c r="BX96" s="128">
        <f t="shared" si="2"/>
        <v>3</v>
      </c>
      <c r="BY96" s="60" t="str">
        <f t="shared" si="3"/>
        <v>3SiS</v>
      </c>
      <c r="BZ96" s="60">
        <v>0.1</v>
      </c>
      <c r="CE96" t="s">
        <v>734</v>
      </c>
      <c r="CF96" t="s">
        <v>1127</v>
      </c>
      <c r="CG96" t="s">
        <v>944</v>
      </c>
    </row>
    <row r="97" spans="4:85" x14ac:dyDescent="0.3">
      <c r="D97">
        <v>9</v>
      </c>
      <c r="E97" t="s">
        <v>579</v>
      </c>
      <c r="BL97" s="59" t="s">
        <v>420</v>
      </c>
      <c r="BM97" s="59">
        <v>0.2</v>
      </c>
      <c r="BN97" s="60" t="s">
        <v>297</v>
      </c>
      <c r="BO97" s="60">
        <v>0.1</v>
      </c>
      <c r="BP97" s="62" t="s">
        <v>326</v>
      </c>
      <c r="BQ97" s="62">
        <v>0.45</v>
      </c>
      <c r="BR97" s="64" t="s">
        <v>248</v>
      </c>
      <c r="BS97" s="64">
        <v>0.3</v>
      </c>
      <c r="BU97" s="62" t="s">
        <v>332</v>
      </c>
      <c r="BV97" s="62">
        <v>0.4</v>
      </c>
      <c r="BX97" s="128">
        <f t="shared" si="2"/>
        <v>3</v>
      </c>
      <c r="BY97" s="60" t="str">
        <f t="shared" si="3"/>
        <v>3F1S</v>
      </c>
      <c r="BZ97" s="60">
        <v>0.1</v>
      </c>
      <c r="CE97" t="s">
        <v>735</v>
      </c>
      <c r="CF97" t="s">
        <v>1128</v>
      </c>
      <c r="CG97" t="s">
        <v>945</v>
      </c>
    </row>
    <row r="98" spans="4:85" x14ac:dyDescent="0.3">
      <c r="D98">
        <v>9</v>
      </c>
      <c r="E98" t="s">
        <v>558</v>
      </c>
      <c r="BL98" s="59" t="s">
        <v>422</v>
      </c>
      <c r="BM98" s="59">
        <v>0.05</v>
      </c>
      <c r="BN98" s="60" t="s">
        <v>298</v>
      </c>
      <c r="BO98" s="60">
        <v>0.05</v>
      </c>
      <c r="BP98" s="62" t="s">
        <v>329</v>
      </c>
      <c r="BQ98" s="62">
        <v>0.4</v>
      </c>
      <c r="BR98" s="64" t="s">
        <v>249</v>
      </c>
      <c r="BS98" s="64">
        <v>0.2</v>
      </c>
      <c r="BU98" s="62" t="s">
        <v>334</v>
      </c>
      <c r="BV98" s="62">
        <v>0.1</v>
      </c>
      <c r="BX98" s="128">
        <f t="shared" si="2"/>
        <v>2</v>
      </c>
      <c r="BY98" s="60" t="str">
        <f t="shared" si="3"/>
        <v>2FS</v>
      </c>
      <c r="BZ98" s="60">
        <v>0.05</v>
      </c>
      <c r="CE98" t="s">
        <v>736</v>
      </c>
      <c r="CF98" t="s">
        <v>1238</v>
      </c>
      <c r="CG98" t="s">
        <v>946</v>
      </c>
    </row>
    <row r="99" spans="4:85" x14ac:dyDescent="0.3">
      <c r="D99">
        <v>9</v>
      </c>
      <c r="E99" t="s">
        <v>559</v>
      </c>
      <c r="BL99" s="59" t="s">
        <v>1310</v>
      </c>
      <c r="BM99" s="59">
        <v>0.1</v>
      </c>
      <c r="BN99" s="60" t="s">
        <v>299</v>
      </c>
      <c r="BO99" s="60">
        <v>0.2</v>
      </c>
      <c r="BP99" s="62" t="s">
        <v>331</v>
      </c>
      <c r="BQ99" s="62">
        <v>0.5</v>
      </c>
      <c r="BR99" s="64" t="s">
        <v>250</v>
      </c>
      <c r="BS99" s="64">
        <v>0.4</v>
      </c>
      <c r="BU99" s="62" t="s">
        <v>336</v>
      </c>
      <c r="BV99" s="62">
        <v>0.25</v>
      </c>
      <c r="BX99" s="128">
        <f t="shared" si="2"/>
        <v>4</v>
      </c>
      <c r="BY99" s="60" t="str">
        <f t="shared" si="3"/>
        <v>4F1S/</v>
      </c>
      <c r="BZ99" s="60">
        <v>0.2</v>
      </c>
      <c r="CE99" t="s">
        <v>737</v>
      </c>
      <c r="CF99" t="s">
        <v>1129</v>
      </c>
      <c r="CG99" t="s">
        <v>947</v>
      </c>
    </row>
    <row r="100" spans="4:85" x14ac:dyDescent="0.3">
      <c r="BL100" s="59" t="s">
        <v>1312</v>
      </c>
      <c r="BM100" s="59">
        <v>0.1</v>
      </c>
      <c r="BN100" s="60" t="s">
        <v>300</v>
      </c>
      <c r="BO100" s="60">
        <v>0.1</v>
      </c>
      <c r="BP100" s="62" t="s">
        <v>333</v>
      </c>
      <c r="BQ100" s="62">
        <v>0.25</v>
      </c>
      <c r="BR100" s="64" t="s">
        <v>251</v>
      </c>
      <c r="BS100" s="64">
        <v>0.3</v>
      </c>
      <c r="BU100" s="62" t="s">
        <v>338</v>
      </c>
      <c r="BV100" s="62">
        <v>0.3</v>
      </c>
      <c r="BX100" s="128">
        <f t="shared" si="2"/>
        <v>2</v>
      </c>
      <c r="BY100" s="60" t="str">
        <f t="shared" si="3"/>
        <v>2Le</v>
      </c>
      <c r="BZ100" s="60">
        <v>0.1</v>
      </c>
      <c r="CE100" t="s">
        <v>738</v>
      </c>
      <c r="CF100" t="s">
        <v>1130</v>
      </c>
      <c r="CG100" t="s">
        <v>948</v>
      </c>
    </row>
    <row r="101" spans="4:85" x14ac:dyDescent="0.3">
      <c r="BL101" s="59" t="s">
        <v>424</v>
      </c>
      <c r="BM101" s="59">
        <v>0.15</v>
      </c>
      <c r="BN101" s="60" t="s">
        <v>301</v>
      </c>
      <c r="BO101" s="60">
        <v>0.1</v>
      </c>
      <c r="BP101" s="62" t="s">
        <v>335</v>
      </c>
      <c r="BQ101" s="62">
        <v>0.35</v>
      </c>
      <c r="BR101" s="64" t="s">
        <v>252</v>
      </c>
      <c r="BS101" s="64">
        <v>0.1</v>
      </c>
      <c r="BU101" s="62" t="s">
        <v>340</v>
      </c>
      <c r="BV101" s="62">
        <v>0.45</v>
      </c>
      <c r="BX101" s="128">
        <f t="shared" si="2"/>
        <v>2</v>
      </c>
      <c r="BY101" s="60" t="str">
        <f t="shared" si="3"/>
        <v>2Li</v>
      </c>
      <c r="BZ101" s="60">
        <v>0.1</v>
      </c>
      <c r="CE101" t="s">
        <v>739</v>
      </c>
      <c r="CF101" t="s">
        <v>1131</v>
      </c>
      <c r="CG101" t="s">
        <v>949</v>
      </c>
    </row>
    <row r="102" spans="4:85" x14ac:dyDescent="0.3">
      <c r="BL102" s="59" t="s">
        <v>426</v>
      </c>
      <c r="BM102" s="59">
        <v>0.1</v>
      </c>
      <c r="BN102" s="60" t="s">
        <v>302</v>
      </c>
      <c r="BO102" s="60">
        <v>0.2</v>
      </c>
      <c r="BP102" s="62" t="s">
        <v>337</v>
      </c>
      <c r="BQ102" s="62">
        <v>0.45</v>
      </c>
      <c r="BR102" s="64" t="s">
        <v>253</v>
      </c>
      <c r="BS102" s="64">
        <v>0.3</v>
      </c>
      <c r="BU102" s="62" t="s">
        <v>342</v>
      </c>
      <c r="BV102" s="62">
        <v>0.4</v>
      </c>
      <c r="BX102" s="128">
        <f t="shared" si="2"/>
        <v>2</v>
      </c>
      <c r="BY102" s="60" t="str">
        <f t="shared" si="3"/>
        <v>2Ch</v>
      </c>
      <c r="BZ102" s="60">
        <v>0.2</v>
      </c>
      <c r="CE102" t="s">
        <v>740</v>
      </c>
      <c r="CF102" t="s">
        <v>1132</v>
      </c>
      <c r="CG102" t="s">
        <v>950</v>
      </c>
    </row>
    <row r="103" spans="4:85" x14ac:dyDescent="0.3">
      <c r="D103">
        <v>10</v>
      </c>
      <c r="E103" t="s">
        <v>18</v>
      </c>
      <c r="BL103" s="59" t="s">
        <v>428</v>
      </c>
      <c r="BM103" s="59">
        <v>0.1</v>
      </c>
      <c r="BN103" s="60" t="s">
        <v>303</v>
      </c>
      <c r="BO103" s="60">
        <v>0.1</v>
      </c>
      <c r="BP103" s="62" t="s">
        <v>339</v>
      </c>
      <c r="BQ103" s="62">
        <v>0.55000000000000004</v>
      </c>
      <c r="BR103" s="64" t="s">
        <v>254</v>
      </c>
      <c r="BS103" s="64">
        <v>0.4</v>
      </c>
      <c r="BU103" s="62" t="s">
        <v>344</v>
      </c>
      <c r="BV103" s="62">
        <v>0.1</v>
      </c>
      <c r="BX103" s="128">
        <f t="shared" si="2"/>
        <v>2</v>
      </c>
      <c r="BY103" s="60" t="str">
        <f t="shared" si="3"/>
        <v>2Tw</v>
      </c>
      <c r="BZ103" s="60">
        <v>0.1</v>
      </c>
      <c r="CE103" t="s">
        <v>741</v>
      </c>
      <c r="CF103" t="s">
        <v>1133</v>
      </c>
      <c r="CG103" t="s">
        <v>951</v>
      </c>
    </row>
    <row r="104" spans="4:85" x14ac:dyDescent="0.3">
      <c r="D104">
        <v>10</v>
      </c>
      <c r="E104" t="s">
        <v>557</v>
      </c>
      <c r="BL104" s="59" t="s">
        <v>430</v>
      </c>
      <c r="BM104" s="59">
        <v>0.1</v>
      </c>
      <c r="BN104" s="60" t="s">
        <v>304</v>
      </c>
      <c r="BO104" s="60">
        <v>0.1</v>
      </c>
      <c r="BP104" s="62" t="s">
        <v>341</v>
      </c>
      <c r="BQ104" s="62">
        <v>0.65</v>
      </c>
      <c r="BR104" s="64" t="s">
        <v>255</v>
      </c>
      <c r="BS104" s="64">
        <v>0.4</v>
      </c>
      <c r="BU104" s="62" t="s">
        <v>346</v>
      </c>
      <c r="BV104" s="62">
        <v>0.1</v>
      </c>
      <c r="BX104" s="128">
        <f t="shared" si="2"/>
        <v>3</v>
      </c>
      <c r="BY104" s="60" t="str">
        <f t="shared" si="3"/>
        <v>3Tw*</v>
      </c>
      <c r="BZ104" s="60">
        <v>0.1</v>
      </c>
      <c r="CE104" t="s">
        <v>742</v>
      </c>
      <c r="CF104" t="s">
        <v>1134</v>
      </c>
      <c r="CG104" t="s">
        <v>952</v>
      </c>
    </row>
    <row r="105" spans="4:85" x14ac:dyDescent="0.3">
      <c r="D105">
        <v>10</v>
      </c>
      <c r="E105" t="s">
        <v>579</v>
      </c>
      <c r="BL105" s="59" t="s">
        <v>432</v>
      </c>
      <c r="BM105" s="59">
        <v>0.15</v>
      </c>
      <c r="BN105" s="60" t="s">
        <v>305</v>
      </c>
      <c r="BO105" s="60">
        <v>0.1</v>
      </c>
      <c r="BP105" s="62" t="s">
        <v>343</v>
      </c>
      <c r="BQ105" s="62">
        <v>0.1</v>
      </c>
      <c r="BR105" s="64" t="s">
        <v>256</v>
      </c>
      <c r="BS105" s="64">
        <v>0.3</v>
      </c>
      <c r="BU105" s="62" t="s">
        <v>348</v>
      </c>
      <c r="BV105" s="62">
        <v>0.05</v>
      </c>
      <c r="BX105" s="128">
        <f t="shared" si="2"/>
        <v>2</v>
      </c>
      <c r="BY105" s="60" t="str">
        <f t="shared" si="3"/>
        <v>2AV</v>
      </c>
      <c r="BZ105" s="60">
        <v>0.1</v>
      </c>
      <c r="CE105" t="s">
        <v>743</v>
      </c>
      <c r="CF105" t="s">
        <v>1135</v>
      </c>
      <c r="CG105" t="s">
        <v>953</v>
      </c>
    </row>
    <row r="106" spans="4:85" x14ac:dyDescent="0.3">
      <c r="D106">
        <v>10</v>
      </c>
      <c r="E106" t="s">
        <v>558</v>
      </c>
      <c r="BL106" s="59" t="s">
        <v>434</v>
      </c>
      <c r="BM106" s="59">
        <v>0.2</v>
      </c>
      <c r="BN106" s="60" t="s">
        <v>306</v>
      </c>
      <c r="BO106" s="60">
        <v>0.1</v>
      </c>
      <c r="BP106" s="62" t="s">
        <v>345</v>
      </c>
      <c r="BQ106" s="62">
        <v>0.15</v>
      </c>
      <c r="BR106" s="64" t="s">
        <v>1285</v>
      </c>
      <c r="BS106" s="64">
        <v>0.3</v>
      </c>
      <c r="BU106" s="62" t="s">
        <v>350</v>
      </c>
      <c r="BV106" s="62">
        <v>0.1</v>
      </c>
      <c r="BX106" s="128">
        <f t="shared" si="2"/>
        <v>3</v>
      </c>
      <c r="BY106" s="60" t="str">
        <f t="shared" si="3"/>
        <v>3AF*</v>
      </c>
      <c r="BZ106" s="60">
        <v>0.1</v>
      </c>
      <c r="CE106" t="s">
        <v>744</v>
      </c>
      <c r="CF106" t="s">
        <v>1136</v>
      </c>
      <c r="CG106" t="s">
        <v>954</v>
      </c>
    </row>
    <row r="107" spans="4:85" x14ac:dyDescent="0.3">
      <c r="D107">
        <v>10</v>
      </c>
      <c r="E107" t="s">
        <v>559</v>
      </c>
      <c r="BL107" s="59"/>
      <c r="BM107" s="59"/>
      <c r="BN107" s="60" t="s">
        <v>307</v>
      </c>
      <c r="BO107" s="60">
        <v>0.1</v>
      </c>
      <c r="BP107" s="62" t="s">
        <v>347</v>
      </c>
      <c r="BQ107" s="62">
        <v>0.05</v>
      </c>
      <c r="BR107" s="64" t="s">
        <v>257</v>
      </c>
      <c r="BS107" s="64">
        <v>0.2</v>
      </c>
      <c r="BU107" s="62" t="s">
        <v>352</v>
      </c>
      <c r="BV107" s="62">
        <v>0.2</v>
      </c>
      <c r="BX107" s="128">
        <f t="shared" si="2"/>
        <v>4</v>
      </c>
      <c r="BY107" s="60" t="str">
        <f t="shared" si="3"/>
        <v>4SpSp</v>
      </c>
      <c r="BZ107" s="60">
        <v>0.1</v>
      </c>
      <c r="CE107" t="s">
        <v>745</v>
      </c>
      <c r="CF107" t="s">
        <v>1137</v>
      </c>
      <c r="CG107" t="s">
        <v>955</v>
      </c>
    </row>
    <row r="108" spans="4:85" x14ac:dyDescent="0.3">
      <c r="BL108" s="59"/>
      <c r="BM108" s="59"/>
      <c r="BN108" s="60" t="s">
        <v>308</v>
      </c>
      <c r="BO108" s="60">
        <v>0.15</v>
      </c>
      <c r="BP108" s="62" t="s">
        <v>349</v>
      </c>
      <c r="BQ108" s="62">
        <v>0.1</v>
      </c>
      <c r="BR108" s="64" t="s">
        <v>258</v>
      </c>
      <c r="BS108" s="64">
        <v>0.2</v>
      </c>
      <c r="BU108" s="62" t="s">
        <v>577</v>
      </c>
      <c r="BV108" s="62">
        <v>0.2</v>
      </c>
      <c r="BX108" s="128">
        <f t="shared" si="2"/>
        <v>3</v>
      </c>
      <c r="BY108" s="60" t="str">
        <f t="shared" si="3"/>
        <v>3SiF</v>
      </c>
      <c r="BZ108" s="60">
        <v>0.15</v>
      </c>
      <c r="CE108" t="s">
        <v>746</v>
      </c>
      <c r="CF108" t="s">
        <v>1138</v>
      </c>
      <c r="CG108" t="s">
        <v>956</v>
      </c>
    </row>
    <row r="109" spans="4:85" x14ac:dyDescent="0.3">
      <c r="BL109" s="59"/>
      <c r="BM109" s="59"/>
      <c r="BN109" s="60" t="s">
        <v>309</v>
      </c>
      <c r="BO109" s="60">
        <v>0.25</v>
      </c>
      <c r="BP109" s="62" t="s">
        <v>351</v>
      </c>
      <c r="BQ109" s="62">
        <v>0.2</v>
      </c>
      <c r="BR109" s="64" t="s">
        <v>259</v>
      </c>
      <c r="BS109" s="64">
        <v>0.1</v>
      </c>
      <c r="BU109" s="62" t="s">
        <v>355</v>
      </c>
      <c r="BV109" s="62">
        <v>0.1</v>
      </c>
      <c r="BX109" s="128">
        <f t="shared" si="2"/>
        <v>3</v>
      </c>
      <c r="BY109" s="60" t="str">
        <f t="shared" si="3"/>
        <v>3BBb</v>
      </c>
      <c r="BZ109" s="60">
        <v>0.25</v>
      </c>
      <c r="CE109" t="s">
        <v>747</v>
      </c>
      <c r="CF109" t="s">
        <v>1139</v>
      </c>
      <c r="CG109" t="s">
        <v>957</v>
      </c>
    </row>
    <row r="110" spans="4:85" x14ac:dyDescent="0.3">
      <c r="BL110" s="59"/>
      <c r="BM110" s="59"/>
      <c r="BN110" s="60" t="s">
        <v>310</v>
      </c>
      <c r="BO110" s="60">
        <v>0.1</v>
      </c>
      <c r="BP110" s="62" t="s">
        <v>353</v>
      </c>
      <c r="BQ110" s="62">
        <v>0.2</v>
      </c>
      <c r="BR110" s="64" t="s">
        <v>260</v>
      </c>
      <c r="BS110" s="64">
        <v>0.1</v>
      </c>
      <c r="BU110" s="62" t="s">
        <v>357</v>
      </c>
      <c r="BV110" s="62">
        <v>0.2</v>
      </c>
      <c r="BX110" s="128">
        <f t="shared" si="2"/>
        <v>3</v>
      </c>
      <c r="BY110" s="60" t="str">
        <f t="shared" si="3"/>
        <v>3Li*</v>
      </c>
      <c r="BZ110" s="60">
        <v>0.1</v>
      </c>
      <c r="CE110" t="s">
        <v>748</v>
      </c>
      <c r="CF110" t="s">
        <v>1239</v>
      </c>
      <c r="CG110" t="s">
        <v>958</v>
      </c>
    </row>
    <row r="111" spans="4:85" x14ac:dyDescent="0.3">
      <c r="BL111" s="59"/>
      <c r="BM111" s="59"/>
      <c r="BN111" s="60" t="s">
        <v>311</v>
      </c>
      <c r="BO111" s="60">
        <v>0.2</v>
      </c>
      <c r="BP111" s="62" t="s">
        <v>354</v>
      </c>
      <c r="BQ111" s="62">
        <v>0.2</v>
      </c>
      <c r="BR111" s="64" t="s">
        <v>261</v>
      </c>
      <c r="BS111" s="64">
        <v>0.1</v>
      </c>
      <c r="BU111" s="62" t="s">
        <v>359</v>
      </c>
      <c r="BV111" s="62">
        <v>0.05</v>
      </c>
      <c r="BX111" s="128">
        <f t="shared" si="2"/>
        <v>3</v>
      </c>
      <c r="BY111" s="60" t="str">
        <f t="shared" si="3"/>
        <v>3SiV</v>
      </c>
      <c r="BZ111" s="60">
        <v>0.2</v>
      </c>
      <c r="CE111" t="s">
        <v>749</v>
      </c>
      <c r="CF111" t="s">
        <v>1140</v>
      </c>
      <c r="CG111" t="s">
        <v>959</v>
      </c>
    </row>
    <row r="112" spans="4:85" x14ac:dyDescent="0.3">
      <c r="BL112" s="59"/>
      <c r="BM112" s="59"/>
      <c r="BN112" s="60" t="s">
        <v>312</v>
      </c>
      <c r="BO112" s="60">
        <v>0.35</v>
      </c>
      <c r="BP112" s="62" t="s">
        <v>356</v>
      </c>
      <c r="BQ112" s="62">
        <v>0.3</v>
      </c>
      <c r="BR112" s="64" t="s">
        <v>262</v>
      </c>
      <c r="BS112" s="64">
        <v>0.1</v>
      </c>
      <c r="BU112" s="62" t="s">
        <v>361</v>
      </c>
      <c r="BV112" s="62">
        <v>0.05</v>
      </c>
      <c r="BX112" s="128">
        <f t="shared" si="2"/>
        <v>3</v>
      </c>
      <c r="BY112" s="60" t="str">
        <f t="shared" si="3"/>
        <v>3AP/</v>
      </c>
      <c r="BZ112" s="60">
        <v>0.35</v>
      </c>
      <c r="CE112" t="s">
        <v>750</v>
      </c>
      <c r="CF112" t="s">
        <v>1141</v>
      </c>
      <c r="CG112" t="s">
        <v>960</v>
      </c>
    </row>
    <row r="113" spans="4:85" x14ac:dyDescent="0.3">
      <c r="D113">
        <v>11</v>
      </c>
      <c r="E113" t="s">
        <v>18</v>
      </c>
      <c r="BL113" s="59"/>
      <c r="BM113" s="59"/>
      <c r="BN113" s="60" t="s">
        <v>313</v>
      </c>
      <c r="BO113" s="60">
        <v>0.3</v>
      </c>
      <c r="BP113" s="62" t="s">
        <v>358</v>
      </c>
      <c r="BQ113" s="62">
        <v>0.15</v>
      </c>
      <c r="BR113" s="64" t="s">
        <v>263</v>
      </c>
      <c r="BS113" s="64">
        <v>0.3</v>
      </c>
      <c r="BU113" s="62" t="s">
        <v>363</v>
      </c>
      <c r="BV113" s="62">
        <v>0.05</v>
      </c>
      <c r="BX113" s="128">
        <f t="shared" si="2"/>
        <v>3</v>
      </c>
      <c r="BY113" s="60" t="str">
        <f t="shared" si="3"/>
        <v>3PH*</v>
      </c>
      <c r="BZ113" s="60">
        <v>0.3</v>
      </c>
      <c r="CE113" t="s">
        <v>751</v>
      </c>
      <c r="CF113" t="s">
        <v>1142</v>
      </c>
      <c r="CG113" t="s">
        <v>961</v>
      </c>
    </row>
    <row r="114" spans="4:85" x14ac:dyDescent="0.3">
      <c r="D114">
        <v>11</v>
      </c>
      <c r="E114" t="s">
        <v>17</v>
      </c>
      <c r="BL114" s="59"/>
      <c r="BM114" s="59"/>
      <c r="BN114" s="60" t="s">
        <v>314</v>
      </c>
      <c r="BO114" s="60">
        <v>0.55000000000000004</v>
      </c>
      <c r="BP114" s="62" t="s">
        <v>360</v>
      </c>
      <c r="BQ114" s="62">
        <v>0.15</v>
      </c>
      <c r="BR114" s="64" t="s">
        <v>264</v>
      </c>
      <c r="BS114" s="64">
        <v>0.05</v>
      </c>
      <c r="BU114" s="62" t="s">
        <v>365</v>
      </c>
      <c r="BV114" s="62">
        <v>0.05</v>
      </c>
      <c r="BX114" s="128">
        <f t="shared" si="2"/>
        <v>4</v>
      </c>
      <c r="BY114" s="60" t="str">
        <f t="shared" si="3"/>
        <v>4FHP/</v>
      </c>
      <c r="BZ114" s="60">
        <v>0.55000000000000004</v>
      </c>
      <c r="CE114" t="s">
        <v>752</v>
      </c>
      <c r="CF114" t="s">
        <v>1143</v>
      </c>
      <c r="CG114" t="s">
        <v>962</v>
      </c>
    </row>
    <row r="115" spans="4:85" x14ac:dyDescent="0.3">
      <c r="D115">
        <v>11</v>
      </c>
      <c r="E115" t="s">
        <v>1661</v>
      </c>
      <c r="BL115" s="59"/>
      <c r="BM115" s="59"/>
      <c r="BN115" s="60" t="s">
        <v>315</v>
      </c>
      <c r="BO115" s="60">
        <v>0.5</v>
      </c>
      <c r="BP115" s="62" t="s">
        <v>362</v>
      </c>
      <c r="BQ115" s="62">
        <v>0.2</v>
      </c>
      <c r="BR115" s="64" t="s">
        <v>1284</v>
      </c>
      <c r="BS115" s="64">
        <v>0.1</v>
      </c>
      <c r="BU115" s="62" t="s">
        <v>367</v>
      </c>
      <c r="BV115" s="62">
        <v>0.1</v>
      </c>
      <c r="BX115" s="128">
        <f t="shared" si="2"/>
        <v>3</v>
      </c>
      <c r="BY115" s="60" t="str">
        <f t="shared" si="3"/>
        <v>3FF*</v>
      </c>
      <c r="BZ115" s="60">
        <v>0.5</v>
      </c>
      <c r="CE115" t="s">
        <v>753</v>
      </c>
      <c r="CF115" t="s">
        <v>1144</v>
      </c>
      <c r="CG115" t="s">
        <v>963</v>
      </c>
    </row>
    <row r="116" spans="4:85" x14ac:dyDescent="0.3">
      <c r="D116">
        <v>11</v>
      </c>
      <c r="E116" t="s">
        <v>1819</v>
      </c>
      <c r="BL116" s="59"/>
      <c r="BM116" s="59"/>
      <c r="BN116" s="60" t="s">
        <v>316</v>
      </c>
      <c r="BO116" s="60">
        <v>0.1</v>
      </c>
      <c r="BP116" s="62" t="s">
        <v>364</v>
      </c>
      <c r="BQ116" s="62">
        <v>0.15</v>
      </c>
      <c r="BR116" s="64" t="s">
        <v>265</v>
      </c>
      <c r="BS116" s="64">
        <v>0.1</v>
      </c>
      <c r="BU116" s="62" t="s">
        <v>369</v>
      </c>
      <c r="BV116" s="62">
        <v>0.1</v>
      </c>
      <c r="BX116" s="128">
        <f t="shared" si="2"/>
        <v>3</v>
      </c>
      <c r="BY116" s="60" t="str">
        <f t="shared" si="3"/>
        <v>3AL/</v>
      </c>
      <c r="BZ116" s="60">
        <v>0.1</v>
      </c>
      <c r="CE116" t="s">
        <v>754</v>
      </c>
      <c r="CF116" t="s">
        <v>1145</v>
      </c>
      <c r="CG116" t="s">
        <v>964</v>
      </c>
    </row>
    <row r="117" spans="4:85" x14ac:dyDescent="0.3">
      <c r="D117">
        <v>11</v>
      </c>
      <c r="E117" t="s">
        <v>557</v>
      </c>
      <c r="BL117" s="59"/>
      <c r="BM117" s="59"/>
      <c r="BN117" s="60" t="s">
        <v>317</v>
      </c>
      <c r="BO117" s="60">
        <v>0.4</v>
      </c>
      <c r="BP117" s="62" t="s">
        <v>366</v>
      </c>
      <c r="BQ117" s="62">
        <v>0.25</v>
      </c>
      <c r="BR117" s="64" t="s">
        <v>266</v>
      </c>
      <c r="BS117" s="64">
        <v>0.1</v>
      </c>
      <c r="BU117" s="62" t="s">
        <v>371</v>
      </c>
      <c r="BV117" s="62">
        <v>0.1</v>
      </c>
      <c r="BX117" s="128">
        <f t="shared" si="2"/>
        <v>3</v>
      </c>
      <c r="BY117" s="60" t="str">
        <f t="shared" si="3"/>
        <v>3FP*</v>
      </c>
      <c r="BZ117" s="60">
        <v>0.4</v>
      </c>
      <c r="CE117" t="s">
        <v>755</v>
      </c>
      <c r="CF117" t="s">
        <v>1146</v>
      </c>
      <c r="CG117" t="s">
        <v>965</v>
      </c>
    </row>
    <row r="118" spans="4:85" x14ac:dyDescent="0.3">
      <c r="D118">
        <v>11</v>
      </c>
      <c r="E118" t="s">
        <v>579</v>
      </c>
      <c r="BL118" s="59"/>
      <c r="BM118" s="59"/>
      <c r="BN118" s="60" t="s">
        <v>318</v>
      </c>
      <c r="BO118" s="60">
        <v>0.1</v>
      </c>
      <c r="BP118" s="62" t="s">
        <v>368</v>
      </c>
      <c r="BQ118" s="62">
        <v>0.25</v>
      </c>
      <c r="BR118" s="64" t="s">
        <v>267</v>
      </c>
      <c r="BS118" s="64">
        <v>0.3</v>
      </c>
      <c r="BU118" s="62" t="s">
        <v>373</v>
      </c>
      <c r="BV118" s="62">
        <v>0.05</v>
      </c>
      <c r="BX118" s="128">
        <f t="shared" si="2"/>
        <v>4</v>
      </c>
      <c r="BY118" s="60" t="str">
        <f t="shared" si="3"/>
        <v>4SiF*</v>
      </c>
      <c r="BZ118" s="60">
        <v>0.1</v>
      </c>
      <c r="CE118" t="s">
        <v>756</v>
      </c>
      <c r="CF118" t="s">
        <v>1147</v>
      </c>
      <c r="CG118" t="s">
        <v>966</v>
      </c>
    </row>
    <row r="119" spans="4:85" x14ac:dyDescent="0.3">
      <c r="D119">
        <v>11</v>
      </c>
      <c r="E119" t="s">
        <v>558</v>
      </c>
      <c r="BL119" s="59"/>
      <c r="BM119" s="59"/>
      <c r="BN119" s="60" t="s">
        <v>319</v>
      </c>
      <c r="BO119" s="60">
        <v>0.1</v>
      </c>
      <c r="BP119" s="62" t="s">
        <v>370</v>
      </c>
      <c r="BQ119" s="62">
        <v>0.25</v>
      </c>
      <c r="BR119" s="64" t="s">
        <v>268</v>
      </c>
      <c r="BS119" s="64">
        <v>0.1</v>
      </c>
      <c r="BU119" s="62" t="s">
        <v>375</v>
      </c>
      <c r="BV119" s="62">
        <v>0.1</v>
      </c>
      <c r="BX119" s="128">
        <f t="shared" si="2"/>
        <v>3</v>
      </c>
      <c r="BY119" s="60" t="str">
        <f t="shared" si="3"/>
        <v>3AP\</v>
      </c>
      <c r="BZ119" s="60">
        <v>0.1</v>
      </c>
      <c r="CE119" t="s">
        <v>757</v>
      </c>
      <c r="CF119" t="s">
        <v>1148</v>
      </c>
      <c r="CG119" t="s">
        <v>967</v>
      </c>
    </row>
    <row r="120" spans="4:85" x14ac:dyDescent="0.3">
      <c r="D120">
        <v>11</v>
      </c>
      <c r="E120" t="s">
        <v>559</v>
      </c>
      <c r="BL120" s="59"/>
      <c r="BM120" s="59"/>
      <c r="BN120" s="60" t="s">
        <v>1293</v>
      </c>
      <c r="BO120" s="60">
        <v>0.15</v>
      </c>
      <c r="BP120" s="62" t="s">
        <v>372</v>
      </c>
      <c r="BQ120" s="62">
        <v>0.3</v>
      </c>
      <c r="BR120" s="64" t="s">
        <v>269</v>
      </c>
      <c r="BS120" s="64">
        <v>0.1</v>
      </c>
      <c r="BU120" s="62" t="s">
        <v>377</v>
      </c>
      <c r="BV120" s="62">
        <v>0.1</v>
      </c>
      <c r="BX120" s="128">
        <f t="shared" si="2"/>
        <v>5</v>
      </c>
      <c r="BY120" s="60" t="str">
        <f t="shared" si="3"/>
        <v>5SF+FB</v>
      </c>
      <c r="BZ120" s="60">
        <v>0.15</v>
      </c>
      <c r="CE120" t="s">
        <v>758</v>
      </c>
      <c r="CF120" t="s">
        <v>1149</v>
      </c>
      <c r="CG120" t="s">
        <v>968</v>
      </c>
    </row>
    <row r="121" spans="4:85" x14ac:dyDescent="0.3">
      <c r="BL121" s="59"/>
      <c r="BM121" s="59"/>
      <c r="BN121" s="60" t="s">
        <v>1294</v>
      </c>
      <c r="BO121" s="60">
        <v>1.5</v>
      </c>
      <c r="BP121" s="62" t="s">
        <v>374</v>
      </c>
      <c r="BQ121" s="62">
        <v>0.3</v>
      </c>
      <c r="BR121" s="64" t="s">
        <v>270</v>
      </c>
      <c r="BS121" s="64">
        <v>0.1</v>
      </c>
      <c r="BU121" s="62" t="s">
        <v>573</v>
      </c>
      <c r="BV121" s="62">
        <v>0.45</v>
      </c>
      <c r="BX121" s="128">
        <f t="shared" si="2"/>
        <v>4</v>
      </c>
      <c r="BY121" s="60" t="str">
        <f t="shared" si="3"/>
        <v>4Px1P</v>
      </c>
      <c r="BZ121" s="60">
        <v>1.5</v>
      </c>
      <c r="CE121" t="s">
        <v>759</v>
      </c>
      <c r="CF121" t="s">
        <v>1150</v>
      </c>
      <c r="CG121" t="s">
        <v>969</v>
      </c>
    </row>
    <row r="122" spans="4:85" x14ac:dyDescent="0.3">
      <c r="BL122" s="59"/>
      <c r="BM122" s="59"/>
      <c r="BN122" s="60" t="s">
        <v>1296</v>
      </c>
      <c r="BO122" s="60">
        <v>0.3</v>
      </c>
      <c r="BP122" s="62" t="s">
        <v>376</v>
      </c>
      <c r="BQ122" s="62">
        <v>0.35</v>
      </c>
      <c r="BR122" s="64" t="s">
        <v>271</v>
      </c>
      <c r="BS122" s="64">
        <v>0.2</v>
      </c>
      <c r="BU122" s="62" t="s">
        <v>379</v>
      </c>
      <c r="BV122" s="62">
        <v>0.05</v>
      </c>
      <c r="BX122" s="128">
        <f t="shared" si="2"/>
        <v>4</v>
      </c>
      <c r="BY122" s="60" t="str">
        <f t="shared" si="3"/>
        <v>4SiF1</v>
      </c>
      <c r="BZ122" s="60">
        <v>0.3</v>
      </c>
      <c r="CE122" t="s">
        <v>760</v>
      </c>
      <c r="CF122" t="s">
        <v>1151</v>
      </c>
      <c r="CG122" t="s">
        <v>970</v>
      </c>
    </row>
    <row r="123" spans="4:85" x14ac:dyDescent="0.3">
      <c r="D123">
        <v>12</v>
      </c>
      <c r="E123" t="s">
        <v>18</v>
      </c>
      <c r="BL123" s="59"/>
      <c r="BM123" s="59"/>
      <c r="BN123" s="60" t="s">
        <v>1412</v>
      </c>
      <c r="BO123" s="60">
        <v>1.8</v>
      </c>
      <c r="BP123" s="62" t="s">
        <v>572</v>
      </c>
      <c r="BQ123" s="62">
        <v>0.6</v>
      </c>
      <c r="BR123" s="64" t="s">
        <v>272</v>
      </c>
      <c r="BS123" s="64">
        <v>0.1</v>
      </c>
      <c r="BU123" s="62" t="s">
        <v>381</v>
      </c>
      <c r="BV123" s="62">
        <v>0.15</v>
      </c>
      <c r="BX123" s="128">
        <f t="shared" si="2"/>
        <v>4</v>
      </c>
      <c r="BY123" s="60" t="str">
        <f t="shared" si="3"/>
        <v>41P1P</v>
      </c>
      <c r="BZ123" s="60"/>
      <c r="CE123" t="s">
        <v>761</v>
      </c>
      <c r="CF123" t="s">
        <v>1152</v>
      </c>
      <c r="CG123" t="s">
        <v>971</v>
      </c>
    </row>
    <row r="124" spans="4:85" x14ac:dyDescent="0.3">
      <c r="D124">
        <v>12</v>
      </c>
      <c r="E124" t="s">
        <v>1661</v>
      </c>
      <c r="BL124" s="59"/>
      <c r="BM124" s="59"/>
      <c r="BN124" s="60"/>
      <c r="BO124" s="60"/>
      <c r="BP124" s="62" t="s">
        <v>378</v>
      </c>
      <c r="BQ124" s="62">
        <v>0.2</v>
      </c>
      <c r="BR124" s="64" t="s">
        <v>1283</v>
      </c>
      <c r="BS124" s="64">
        <v>0.1</v>
      </c>
      <c r="BU124" s="62" t="s">
        <v>383</v>
      </c>
      <c r="BV124" s="62">
        <v>0.1</v>
      </c>
      <c r="BX124" s="128"/>
      <c r="BY124" s="60"/>
      <c r="BZ124" s="60"/>
      <c r="CE124" t="s">
        <v>762</v>
      </c>
      <c r="CF124" t="s">
        <v>1153</v>
      </c>
      <c r="CG124" t="s">
        <v>972</v>
      </c>
    </row>
    <row r="125" spans="4:85" x14ac:dyDescent="0.3">
      <c r="D125">
        <v>12</v>
      </c>
      <c r="E125" t="s">
        <v>557</v>
      </c>
      <c r="BL125" s="59"/>
      <c r="BM125" s="59"/>
      <c r="BN125" s="60"/>
      <c r="BO125" s="60"/>
      <c r="BP125" s="62" t="s">
        <v>380</v>
      </c>
      <c r="BQ125" s="62">
        <v>0.25</v>
      </c>
      <c r="BR125" s="64" t="s">
        <v>273</v>
      </c>
      <c r="BS125" s="64">
        <v>0.25</v>
      </c>
      <c r="BU125" s="62" t="s">
        <v>385</v>
      </c>
      <c r="BV125" s="62">
        <v>0.1</v>
      </c>
      <c r="BX125" s="128"/>
      <c r="BY125" s="60"/>
      <c r="BZ125" s="60"/>
      <c r="CE125" t="s">
        <v>763</v>
      </c>
      <c r="CF125" t="s">
        <v>1154</v>
      </c>
      <c r="CG125" t="s">
        <v>973</v>
      </c>
    </row>
    <row r="126" spans="4:85" x14ac:dyDescent="0.3">
      <c r="D126">
        <v>12</v>
      </c>
      <c r="E126" t="s">
        <v>579</v>
      </c>
      <c r="BL126" s="59"/>
      <c r="BM126" s="59"/>
      <c r="BN126" s="60"/>
      <c r="BO126" s="60"/>
      <c r="BP126" s="62" t="s">
        <v>382</v>
      </c>
      <c r="BQ126" s="62">
        <v>0.3</v>
      </c>
      <c r="BR126" s="64" t="s">
        <v>274</v>
      </c>
      <c r="BS126" s="64">
        <v>0.05</v>
      </c>
      <c r="BU126" s="62" t="s">
        <v>1282</v>
      </c>
      <c r="BV126" s="62">
        <v>0.2</v>
      </c>
      <c r="BX126" s="128"/>
      <c r="BY126" s="60"/>
      <c r="BZ126" s="60"/>
      <c r="CE126" t="s">
        <v>764</v>
      </c>
      <c r="CF126" t="s">
        <v>1240</v>
      </c>
      <c r="CG126" t="s">
        <v>974</v>
      </c>
    </row>
    <row r="127" spans="4:85" x14ac:dyDescent="0.3">
      <c r="D127">
        <v>12</v>
      </c>
      <c r="E127" t="s">
        <v>558</v>
      </c>
      <c r="BL127" s="59"/>
      <c r="BM127" s="59"/>
      <c r="BN127" s="60"/>
      <c r="BO127" s="60"/>
      <c r="BP127" s="62" t="s">
        <v>384</v>
      </c>
      <c r="BQ127" s="62">
        <v>0.3</v>
      </c>
      <c r="BR127" s="64" t="s">
        <v>275</v>
      </c>
      <c r="BS127" s="64">
        <v>0.15</v>
      </c>
      <c r="BU127" s="62" t="s">
        <v>387</v>
      </c>
      <c r="BV127" s="62">
        <v>0.15</v>
      </c>
      <c r="BX127" s="128"/>
      <c r="BY127" s="60"/>
      <c r="BZ127" s="60"/>
      <c r="CE127" t="s">
        <v>765</v>
      </c>
      <c r="CF127" t="s">
        <v>1155</v>
      </c>
      <c r="CG127" t="s">
        <v>975</v>
      </c>
    </row>
    <row r="128" spans="4:85" x14ac:dyDescent="0.3">
      <c r="D128">
        <v>12</v>
      </c>
      <c r="E128" t="s">
        <v>559</v>
      </c>
      <c r="BL128" s="59"/>
      <c r="BM128" s="59"/>
      <c r="BN128" s="60"/>
      <c r="BO128" s="60"/>
      <c r="BP128" s="62" t="s">
        <v>1318</v>
      </c>
      <c r="BQ128" s="62">
        <v>0.35</v>
      </c>
      <c r="BR128" s="64" t="s">
        <v>276</v>
      </c>
      <c r="BS128" s="64">
        <v>0.2</v>
      </c>
      <c r="BU128" s="62" t="s">
        <v>575</v>
      </c>
      <c r="BV128" s="62">
        <v>0.15</v>
      </c>
      <c r="BX128" s="3"/>
      <c r="CE128" t="s">
        <v>766</v>
      </c>
      <c r="CF128" t="s">
        <v>1156</v>
      </c>
      <c r="CG128" t="s">
        <v>976</v>
      </c>
    </row>
    <row r="129" spans="5:85" x14ac:dyDescent="0.3">
      <c r="BL129" s="59"/>
      <c r="BM129" s="59"/>
      <c r="BN129" s="60"/>
      <c r="BO129" s="60"/>
      <c r="BP129" s="62" t="s">
        <v>386</v>
      </c>
      <c r="BQ129" s="62">
        <v>0.35</v>
      </c>
      <c r="BR129" s="64" t="s">
        <v>1295</v>
      </c>
      <c r="BS129" s="64">
        <v>0.95</v>
      </c>
      <c r="BU129" s="62" t="s">
        <v>389</v>
      </c>
      <c r="BV129" s="62">
        <v>0.2</v>
      </c>
      <c r="CE129" t="s">
        <v>767</v>
      </c>
      <c r="CF129" t="s">
        <v>1157</v>
      </c>
      <c r="CG129" t="s">
        <v>977</v>
      </c>
    </row>
    <row r="130" spans="5:85" x14ac:dyDescent="0.3">
      <c r="BL130" s="59"/>
      <c r="BM130" s="59"/>
      <c r="BN130" s="60"/>
      <c r="BO130" s="60"/>
      <c r="BP130" s="62" t="s">
        <v>574</v>
      </c>
      <c r="BQ130" s="62">
        <v>0.4</v>
      </c>
      <c r="BR130" s="64" t="s">
        <v>1298</v>
      </c>
      <c r="BS130" s="64">
        <v>0.2</v>
      </c>
      <c r="BU130" s="62" t="s">
        <v>391</v>
      </c>
      <c r="BV130" s="62">
        <v>0.15</v>
      </c>
      <c r="CE130" t="s">
        <v>768</v>
      </c>
      <c r="CF130" t="s">
        <v>1158</v>
      </c>
      <c r="CG130" t="s">
        <v>978</v>
      </c>
    </row>
    <row r="131" spans="5:85" x14ac:dyDescent="0.3">
      <c r="BL131" s="59"/>
      <c r="BM131" s="59"/>
      <c r="BN131" s="60"/>
      <c r="BO131" s="60"/>
      <c r="BP131" s="62" t="s">
        <v>388</v>
      </c>
      <c r="BQ131" s="62">
        <v>0.4</v>
      </c>
      <c r="BR131" s="64"/>
      <c r="BS131" s="64"/>
      <c r="BU131" s="62" t="s">
        <v>393</v>
      </c>
      <c r="BV131" s="62">
        <v>0.2</v>
      </c>
      <c r="CE131" t="s">
        <v>769</v>
      </c>
      <c r="CF131" t="s">
        <v>1159</v>
      </c>
      <c r="CG131" t="s">
        <v>979</v>
      </c>
    </row>
    <row r="132" spans="5:85" x14ac:dyDescent="0.3">
      <c r="BL132" s="59"/>
      <c r="BM132" s="59"/>
      <c r="BN132" s="60"/>
      <c r="BO132" s="60"/>
      <c r="BP132" s="62" t="s">
        <v>390</v>
      </c>
      <c r="BQ132" s="62">
        <v>0.45</v>
      </c>
      <c r="BR132" s="64"/>
      <c r="BS132" s="64"/>
      <c r="BU132" s="62" t="s">
        <v>395</v>
      </c>
      <c r="BV132" s="62">
        <v>0.2</v>
      </c>
      <c r="CE132" t="s">
        <v>770</v>
      </c>
      <c r="CF132" t="s">
        <v>1160</v>
      </c>
      <c r="CG132" t="s">
        <v>980</v>
      </c>
    </row>
    <row r="133" spans="5:85" x14ac:dyDescent="0.3">
      <c r="BL133" s="59"/>
      <c r="BM133" s="59"/>
      <c r="BN133" s="60"/>
      <c r="BO133" s="60"/>
      <c r="BP133" s="62" t="s">
        <v>392</v>
      </c>
      <c r="BQ133" s="62">
        <v>0.45</v>
      </c>
      <c r="BR133" s="64"/>
      <c r="BS133" s="64"/>
      <c r="BU133" s="62" t="s">
        <v>397</v>
      </c>
      <c r="BV133" s="62">
        <v>0.3</v>
      </c>
      <c r="CE133" t="s">
        <v>771</v>
      </c>
      <c r="CF133" t="s">
        <v>1161</v>
      </c>
      <c r="CG133" t="s">
        <v>981</v>
      </c>
    </row>
    <row r="134" spans="5:85" x14ac:dyDescent="0.3">
      <c r="BL134" s="59"/>
      <c r="BM134" s="59"/>
      <c r="BN134" s="60"/>
      <c r="BO134" s="60"/>
      <c r="BP134" s="62" t="s">
        <v>394</v>
      </c>
      <c r="BQ134" s="62">
        <v>0.45</v>
      </c>
      <c r="BR134" s="64"/>
      <c r="BS134" s="64"/>
      <c r="BU134" s="62" t="s">
        <v>399</v>
      </c>
      <c r="BV134" s="62">
        <v>0.5</v>
      </c>
      <c r="CE134" t="s">
        <v>772</v>
      </c>
      <c r="CF134" t="s">
        <v>1162</v>
      </c>
      <c r="CG134" t="s">
        <v>982</v>
      </c>
    </row>
    <row r="135" spans="5:85" x14ac:dyDescent="0.3">
      <c r="BL135" s="59"/>
      <c r="BM135" s="59"/>
      <c r="BN135" s="60"/>
      <c r="BO135" s="60"/>
      <c r="BP135" s="62" t="s">
        <v>396</v>
      </c>
      <c r="BQ135" s="62">
        <v>0.6</v>
      </c>
      <c r="BR135" s="64"/>
      <c r="BS135" s="64"/>
      <c r="BU135" s="62"/>
      <c r="BV135" s="62"/>
      <c r="CE135" t="s">
        <v>773</v>
      </c>
      <c r="CF135" t="s">
        <v>1163</v>
      </c>
      <c r="CG135" t="s">
        <v>983</v>
      </c>
    </row>
    <row r="136" spans="5:85" x14ac:dyDescent="0.3">
      <c r="BL136" s="59"/>
      <c r="BM136" s="59"/>
      <c r="BN136" s="60"/>
      <c r="BO136" s="60"/>
      <c r="BP136" s="62" t="s">
        <v>398</v>
      </c>
      <c r="BQ136" s="62">
        <v>1</v>
      </c>
      <c r="BR136" s="64"/>
      <c r="BS136" s="64"/>
      <c r="BU136" s="62"/>
      <c r="BV136" s="62"/>
      <c r="CE136" t="s">
        <v>774</v>
      </c>
      <c r="CF136" t="s">
        <v>1164</v>
      </c>
      <c r="CG136" t="s">
        <v>984</v>
      </c>
    </row>
    <row r="137" spans="5:85" x14ac:dyDescent="0.3">
      <c r="BK137" s="8">
        <v>5</v>
      </c>
      <c r="BL137" s="59"/>
      <c r="BM137" s="59"/>
      <c r="BN137" s="60" t="s">
        <v>320</v>
      </c>
      <c r="BO137" s="60">
        <v>0.1</v>
      </c>
      <c r="BP137" s="62"/>
      <c r="BQ137" s="62"/>
      <c r="BR137" s="64" t="s">
        <v>320</v>
      </c>
      <c r="BS137" s="64">
        <v>0.1</v>
      </c>
      <c r="BU137" s="62"/>
      <c r="BV137" s="62"/>
      <c r="CE137" t="s">
        <v>775</v>
      </c>
      <c r="CF137" t="s">
        <v>1165</v>
      </c>
      <c r="CG137" t="s">
        <v>985</v>
      </c>
    </row>
    <row r="138" spans="5:85" x14ac:dyDescent="0.3">
      <c r="BL138" s="59"/>
      <c r="BM138" s="59"/>
      <c r="BN138" s="60" t="s">
        <v>321</v>
      </c>
      <c r="BO138" s="60">
        <v>0.15</v>
      </c>
      <c r="BP138" s="62" t="s">
        <v>1416</v>
      </c>
      <c r="BQ138" s="62">
        <v>0.05</v>
      </c>
      <c r="BR138" s="64" t="s">
        <v>321</v>
      </c>
      <c r="BS138" s="64">
        <v>0.15</v>
      </c>
      <c r="BU138" s="62"/>
      <c r="BV138" s="62"/>
      <c r="CE138" t="s">
        <v>776</v>
      </c>
      <c r="CF138" t="s">
        <v>1166</v>
      </c>
      <c r="CG138" t="s">
        <v>986</v>
      </c>
    </row>
    <row r="139" spans="5:85" x14ac:dyDescent="0.3">
      <c r="BL139" s="59"/>
      <c r="BM139" s="59"/>
      <c r="BN139" s="60" t="s">
        <v>323</v>
      </c>
      <c r="BO139" s="60">
        <v>0.2</v>
      </c>
      <c r="BP139" s="62" t="s">
        <v>1417</v>
      </c>
      <c r="BQ139" s="62">
        <v>0.1</v>
      </c>
      <c r="BR139" s="64" t="s">
        <v>323</v>
      </c>
      <c r="BS139" s="64">
        <v>0.2</v>
      </c>
      <c r="BU139" s="62"/>
      <c r="BV139" s="62"/>
      <c r="CE139" t="s">
        <v>777</v>
      </c>
      <c r="CF139" t="s">
        <v>1167</v>
      </c>
      <c r="CG139" t="s">
        <v>987</v>
      </c>
    </row>
    <row r="140" spans="5:85" x14ac:dyDescent="0.3">
      <c r="E140" t="s">
        <v>1662</v>
      </c>
      <c r="BL140" s="59"/>
      <c r="BM140" s="59"/>
      <c r="BN140" s="60" t="s">
        <v>325</v>
      </c>
      <c r="BO140" s="60">
        <v>0.25</v>
      </c>
      <c r="BP140" s="62" t="s">
        <v>1418</v>
      </c>
      <c r="BQ140" s="62">
        <v>0.05</v>
      </c>
      <c r="BR140" s="64" t="s">
        <v>325</v>
      </c>
      <c r="BS140" s="64">
        <v>0.25</v>
      </c>
      <c r="BU140" s="62"/>
      <c r="BV140" s="62"/>
      <c r="CE140" t="s">
        <v>778</v>
      </c>
      <c r="CF140" t="s">
        <v>1259</v>
      </c>
      <c r="CG140" t="s">
        <v>988</v>
      </c>
    </row>
    <row r="141" spans="5:85" x14ac:dyDescent="0.3">
      <c r="E141" t="s">
        <v>557</v>
      </c>
      <c r="BL141" s="59"/>
      <c r="BM141" s="59"/>
      <c r="BN141" s="60" t="s">
        <v>326</v>
      </c>
      <c r="BO141" s="60">
        <v>0.45</v>
      </c>
      <c r="BP141" s="62" t="s">
        <v>1419</v>
      </c>
      <c r="BQ141" s="62">
        <v>0.1</v>
      </c>
      <c r="BR141" s="64" t="s">
        <v>326</v>
      </c>
      <c r="BS141" s="64">
        <v>0.45</v>
      </c>
      <c r="BU141" s="62"/>
      <c r="BV141" s="62"/>
      <c r="CE141" t="s">
        <v>779</v>
      </c>
      <c r="CF141" t="s">
        <v>1168</v>
      </c>
      <c r="CG141" t="s">
        <v>989</v>
      </c>
    </row>
    <row r="142" spans="5:85" x14ac:dyDescent="0.3">
      <c r="E142" t="s">
        <v>579</v>
      </c>
      <c r="BL142" s="59"/>
      <c r="BM142" s="59"/>
      <c r="BN142" s="60" t="s">
        <v>329</v>
      </c>
      <c r="BO142" s="60">
        <v>0.4</v>
      </c>
      <c r="BP142" s="62" t="s">
        <v>1420</v>
      </c>
      <c r="BQ142" s="62">
        <v>0.15</v>
      </c>
      <c r="BR142" s="64" t="s">
        <v>329</v>
      </c>
      <c r="BS142" s="64">
        <v>0.4</v>
      </c>
      <c r="BU142" s="62"/>
      <c r="BV142" s="62"/>
      <c r="CE142" t="s">
        <v>780</v>
      </c>
      <c r="CF142" t="s">
        <v>1169</v>
      </c>
      <c r="CG142" t="s">
        <v>990</v>
      </c>
    </row>
    <row r="143" spans="5:85" x14ac:dyDescent="0.3">
      <c r="E143" t="s">
        <v>558</v>
      </c>
      <c r="BL143" s="59"/>
      <c r="BM143" s="59"/>
      <c r="BN143" s="60" t="s">
        <v>331</v>
      </c>
      <c r="BO143" s="60">
        <v>0.5</v>
      </c>
      <c r="BP143" s="62" t="s">
        <v>1421</v>
      </c>
      <c r="BQ143" s="62">
        <v>0.15</v>
      </c>
      <c r="BR143" s="64" t="s">
        <v>331</v>
      </c>
      <c r="BS143" s="64">
        <v>0.5</v>
      </c>
      <c r="CE143" t="s">
        <v>781</v>
      </c>
      <c r="CF143" t="s">
        <v>1170</v>
      </c>
      <c r="CG143" t="s">
        <v>991</v>
      </c>
    </row>
    <row r="144" spans="5:85" x14ac:dyDescent="0.3">
      <c r="E144" t="s">
        <v>559</v>
      </c>
      <c r="BL144" s="59"/>
      <c r="BM144" s="59"/>
      <c r="BN144" s="61" t="s">
        <v>333</v>
      </c>
      <c r="BO144" s="60">
        <v>0.25</v>
      </c>
      <c r="BP144" s="62" t="s">
        <v>1422</v>
      </c>
      <c r="BQ144" s="62">
        <v>0.2</v>
      </c>
      <c r="BR144" s="64" t="s">
        <v>333</v>
      </c>
      <c r="BS144" s="64">
        <v>0.25</v>
      </c>
      <c r="CE144" t="s">
        <v>782</v>
      </c>
      <c r="CF144" t="s">
        <v>1241</v>
      </c>
      <c r="CG144" t="s">
        <v>992</v>
      </c>
    </row>
    <row r="145" spans="5:85" x14ac:dyDescent="0.3">
      <c r="E145" t="s">
        <v>1661</v>
      </c>
      <c r="BL145" s="59"/>
      <c r="BM145" s="59"/>
      <c r="BN145" s="60" t="s">
        <v>335</v>
      </c>
      <c r="BO145" s="60">
        <v>0.35</v>
      </c>
      <c r="BP145" s="62" t="s">
        <v>1423</v>
      </c>
      <c r="BQ145" s="62">
        <v>0.05</v>
      </c>
      <c r="BR145" s="64" t="s">
        <v>335</v>
      </c>
      <c r="BS145" s="64">
        <v>0.35</v>
      </c>
      <c r="CE145" t="s">
        <v>783</v>
      </c>
      <c r="CF145" t="s">
        <v>1242</v>
      </c>
      <c r="CG145" t="s">
        <v>993</v>
      </c>
    </row>
    <row r="146" spans="5:85" x14ac:dyDescent="0.3">
      <c r="E146" t="s">
        <v>1667</v>
      </c>
      <c r="BL146" s="59"/>
      <c r="BM146" s="59"/>
      <c r="BN146" s="60" t="s">
        <v>337</v>
      </c>
      <c r="BO146" s="60">
        <v>0.45</v>
      </c>
      <c r="BP146" s="62" t="s">
        <v>1424</v>
      </c>
      <c r="BQ146" s="62">
        <v>0.1</v>
      </c>
      <c r="BR146" s="64" t="s">
        <v>337</v>
      </c>
      <c r="BS146" s="64">
        <v>0.45</v>
      </c>
      <c r="CE146" t="s">
        <v>784</v>
      </c>
      <c r="CF146" t="s">
        <v>1171</v>
      </c>
      <c r="CG146" t="s">
        <v>994</v>
      </c>
    </row>
    <row r="147" spans="5:85" x14ac:dyDescent="0.3">
      <c r="E147" t="s">
        <v>561</v>
      </c>
      <c r="BL147" s="59"/>
      <c r="BM147" s="59"/>
      <c r="BN147" s="60" t="s">
        <v>339</v>
      </c>
      <c r="BO147" s="60">
        <v>0.55000000000000004</v>
      </c>
      <c r="BP147" s="62" t="s">
        <v>1425</v>
      </c>
      <c r="BQ147" s="62">
        <v>0.1</v>
      </c>
      <c r="BR147" s="64" t="s">
        <v>339</v>
      </c>
      <c r="BS147" s="64">
        <v>0.55000000000000004</v>
      </c>
      <c r="CE147" t="s">
        <v>785</v>
      </c>
      <c r="CF147" t="s">
        <v>1172</v>
      </c>
      <c r="CG147" t="s">
        <v>995</v>
      </c>
    </row>
    <row r="148" spans="5:85" x14ac:dyDescent="0.3">
      <c r="E148" t="s">
        <v>560</v>
      </c>
      <c r="BL148" s="59"/>
      <c r="BM148" s="59"/>
      <c r="BN148" s="60" t="s">
        <v>341</v>
      </c>
      <c r="BO148" s="60">
        <v>0.65</v>
      </c>
      <c r="BP148" s="62" t="s">
        <v>1426</v>
      </c>
      <c r="BQ148" s="62">
        <v>0.3</v>
      </c>
      <c r="BR148" s="64" t="s">
        <v>341</v>
      </c>
      <c r="BS148" s="64">
        <v>0.65</v>
      </c>
      <c r="CE148" t="s">
        <v>786</v>
      </c>
      <c r="CF148" t="s">
        <v>1173</v>
      </c>
      <c r="CG148" t="s">
        <v>996</v>
      </c>
    </row>
    <row r="149" spans="5:85" x14ac:dyDescent="0.3">
      <c r="E149" t="s">
        <v>1665</v>
      </c>
      <c r="BL149" s="59"/>
      <c r="BM149" s="59"/>
      <c r="BN149" s="60" t="s">
        <v>343</v>
      </c>
      <c r="BO149" s="60">
        <v>0.1</v>
      </c>
      <c r="BP149" s="62" t="s">
        <v>1427</v>
      </c>
      <c r="BQ149" s="62">
        <v>0.1</v>
      </c>
      <c r="BR149" s="64" t="s">
        <v>343</v>
      </c>
      <c r="BS149" s="64">
        <v>0.1</v>
      </c>
      <c r="CE149" t="s">
        <v>787</v>
      </c>
      <c r="CF149" t="s">
        <v>1174</v>
      </c>
      <c r="CG149" t="s">
        <v>997</v>
      </c>
    </row>
    <row r="150" spans="5:85" x14ac:dyDescent="0.3">
      <c r="E150" t="s">
        <v>1664</v>
      </c>
      <c r="BL150" s="59"/>
      <c r="BM150" s="59"/>
      <c r="BN150" s="60" t="s">
        <v>345</v>
      </c>
      <c r="BO150" s="60">
        <v>0.15</v>
      </c>
      <c r="BP150" s="62" t="s">
        <v>1428</v>
      </c>
      <c r="BQ150" s="62">
        <v>0.1</v>
      </c>
      <c r="BR150" s="64" t="s">
        <v>345</v>
      </c>
      <c r="BS150" s="64">
        <v>0.15</v>
      </c>
      <c r="CE150" t="s">
        <v>788</v>
      </c>
      <c r="CF150" t="s">
        <v>1175</v>
      </c>
      <c r="CG150" t="s">
        <v>998</v>
      </c>
    </row>
    <row r="151" spans="5:85" x14ac:dyDescent="0.3">
      <c r="E151" t="s">
        <v>17</v>
      </c>
      <c r="BL151" s="59"/>
      <c r="BM151" s="59"/>
      <c r="BN151" s="60" t="s">
        <v>347</v>
      </c>
      <c r="BO151" s="60">
        <v>0.05</v>
      </c>
      <c r="BP151" s="62" t="s">
        <v>1429</v>
      </c>
      <c r="BQ151" s="62">
        <v>0.15</v>
      </c>
      <c r="BR151" s="64" t="s">
        <v>347</v>
      </c>
      <c r="BS151" s="64">
        <v>0.05</v>
      </c>
      <c r="CE151" t="s">
        <v>789</v>
      </c>
      <c r="CF151" t="s">
        <v>1176</v>
      </c>
      <c r="CG151" t="s">
        <v>999</v>
      </c>
    </row>
    <row r="152" spans="5:85" x14ac:dyDescent="0.3">
      <c r="E152" t="s">
        <v>18</v>
      </c>
      <c r="BL152" s="59"/>
      <c r="BM152" s="59"/>
      <c r="BN152" s="60" t="s">
        <v>349</v>
      </c>
      <c r="BO152" s="60">
        <v>0.1</v>
      </c>
      <c r="BP152" s="62" t="s">
        <v>1430</v>
      </c>
      <c r="BQ152" s="62">
        <v>0.2</v>
      </c>
      <c r="BR152" s="64" t="s">
        <v>349</v>
      </c>
      <c r="BS152" s="64">
        <v>0.1</v>
      </c>
      <c r="CE152" t="s">
        <v>790</v>
      </c>
      <c r="CF152" t="s">
        <v>1243</v>
      </c>
      <c r="CG152" t="s">
        <v>1000</v>
      </c>
    </row>
    <row r="153" spans="5:85" x14ac:dyDescent="0.3">
      <c r="E153" t="s">
        <v>1663</v>
      </c>
      <c r="BL153" s="59"/>
      <c r="BM153" s="59"/>
      <c r="BN153" s="60" t="s">
        <v>351</v>
      </c>
      <c r="BO153" s="60">
        <v>0.2</v>
      </c>
      <c r="BP153" s="62" t="s">
        <v>1431</v>
      </c>
      <c r="BQ153" s="62">
        <v>0.25</v>
      </c>
      <c r="BR153" s="64" t="s">
        <v>351</v>
      </c>
      <c r="BS153" s="64">
        <v>0.2</v>
      </c>
      <c r="CE153" t="s">
        <v>791</v>
      </c>
      <c r="CF153" t="s">
        <v>1177</v>
      </c>
      <c r="CG153" t="s">
        <v>1001</v>
      </c>
    </row>
    <row r="154" spans="5:85" x14ac:dyDescent="0.3">
      <c r="BL154" s="59"/>
      <c r="BM154" s="59"/>
      <c r="BN154" s="60" t="s">
        <v>353</v>
      </c>
      <c r="BO154" s="60">
        <v>0.2</v>
      </c>
      <c r="BP154" s="62" t="s">
        <v>1432</v>
      </c>
      <c r="BQ154" s="62">
        <v>0.1</v>
      </c>
      <c r="BR154" s="64" t="s">
        <v>353</v>
      </c>
      <c r="BS154" s="64">
        <v>0.2</v>
      </c>
      <c r="CE154" t="s">
        <v>792</v>
      </c>
      <c r="CF154" t="s">
        <v>1178</v>
      </c>
      <c r="CG154" t="s">
        <v>1002</v>
      </c>
    </row>
    <row r="155" spans="5:85" x14ac:dyDescent="0.3">
      <c r="BL155" s="59"/>
      <c r="BM155" s="59"/>
      <c r="BN155" s="60" t="s">
        <v>354</v>
      </c>
      <c r="BO155" s="60">
        <v>0.2</v>
      </c>
      <c r="BP155" s="62" t="s">
        <v>1433</v>
      </c>
      <c r="BQ155" s="62">
        <v>0.15</v>
      </c>
      <c r="BR155" s="64" t="s">
        <v>354</v>
      </c>
      <c r="BS155" s="64">
        <v>0.2</v>
      </c>
      <c r="CE155" t="s">
        <v>793</v>
      </c>
      <c r="CF155" t="s">
        <v>1179</v>
      </c>
      <c r="CG155" t="s">
        <v>1003</v>
      </c>
    </row>
    <row r="156" spans="5:85" x14ac:dyDescent="0.3">
      <c r="BL156" s="59"/>
      <c r="BM156" s="59"/>
      <c r="BN156" s="60" t="s">
        <v>356</v>
      </c>
      <c r="BO156" s="60">
        <v>0.3</v>
      </c>
      <c r="BP156" s="62" t="s">
        <v>1434</v>
      </c>
      <c r="BQ156" s="62">
        <v>0.2</v>
      </c>
      <c r="BR156" s="64" t="s">
        <v>356</v>
      </c>
      <c r="BS156" s="64">
        <v>0.3</v>
      </c>
      <c r="CE156" t="s">
        <v>794</v>
      </c>
      <c r="CF156" t="s">
        <v>1180</v>
      </c>
      <c r="CG156" t="s">
        <v>1004</v>
      </c>
    </row>
    <row r="157" spans="5:85" x14ac:dyDescent="0.3">
      <c r="BL157" s="59"/>
      <c r="BM157" s="59"/>
      <c r="BN157" s="60" t="s">
        <v>358</v>
      </c>
      <c r="BO157" s="60">
        <v>0.15</v>
      </c>
      <c r="BP157" s="62" t="s">
        <v>1435</v>
      </c>
      <c r="BQ157" s="62">
        <v>0.25</v>
      </c>
      <c r="BR157" s="64" t="s">
        <v>358</v>
      </c>
      <c r="BS157" s="64">
        <v>0.15</v>
      </c>
      <c r="CE157" t="s">
        <v>795</v>
      </c>
      <c r="CF157" t="s">
        <v>1181</v>
      </c>
      <c r="CG157" t="s">
        <v>1005</v>
      </c>
    </row>
    <row r="158" spans="5:85" x14ac:dyDescent="0.3">
      <c r="BL158" s="59"/>
      <c r="BM158" s="59"/>
      <c r="BN158" s="60" t="s">
        <v>360</v>
      </c>
      <c r="BO158" s="60">
        <v>0.15</v>
      </c>
      <c r="BP158" s="62" t="s">
        <v>1436</v>
      </c>
      <c r="BQ158" s="62">
        <v>0.45</v>
      </c>
      <c r="BR158" s="64" t="s">
        <v>360</v>
      </c>
      <c r="BS158" s="64">
        <v>0.15</v>
      </c>
      <c r="CE158" t="s">
        <v>796</v>
      </c>
      <c r="CF158" t="s">
        <v>1260</v>
      </c>
      <c r="CG158" t="s">
        <v>1006</v>
      </c>
    </row>
    <row r="159" spans="5:85" x14ac:dyDescent="0.3">
      <c r="BL159" s="59"/>
      <c r="BM159" s="59"/>
      <c r="BN159" s="60" t="s">
        <v>362</v>
      </c>
      <c r="BO159" s="60">
        <v>0.2</v>
      </c>
      <c r="BP159" s="62" t="s">
        <v>1437</v>
      </c>
      <c r="BQ159" s="62">
        <v>0.4</v>
      </c>
      <c r="BR159" s="64" t="s">
        <v>362</v>
      </c>
      <c r="BS159" s="64">
        <v>0.2</v>
      </c>
      <c r="CE159" t="s">
        <v>797</v>
      </c>
      <c r="CF159" t="s">
        <v>1182</v>
      </c>
      <c r="CG159" t="s">
        <v>1007</v>
      </c>
    </row>
    <row r="160" spans="5:85" x14ac:dyDescent="0.3">
      <c r="BL160" s="59"/>
      <c r="BM160" s="59"/>
      <c r="BN160" s="60" t="s">
        <v>364</v>
      </c>
      <c r="BO160" s="60">
        <v>0.15</v>
      </c>
      <c r="BP160" s="62" t="s">
        <v>1438</v>
      </c>
      <c r="BQ160" s="62">
        <v>0.5</v>
      </c>
      <c r="BR160" s="64" t="s">
        <v>364</v>
      </c>
      <c r="BS160" s="64">
        <v>0.15</v>
      </c>
      <c r="CE160" t="s">
        <v>798</v>
      </c>
      <c r="CF160" t="s">
        <v>1183</v>
      </c>
      <c r="CG160" t="s">
        <v>1008</v>
      </c>
    </row>
    <row r="161" spans="64:85" x14ac:dyDescent="0.3">
      <c r="BL161" s="59"/>
      <c r="BM161" s="59"/>
      <c r="BN161" s="60" t="s">
        <v>366</v>
      </c>
      <c r="BO161" s="60">
        <v>0.25</v>
      </c>
      <c r="BP161" s="62" t="s">
        <v>1439</v>
      </c>
      <c r="BQ161" s="62">
        <v>0.25</v>
      </c>
      <c r="BR161" s="64" t="s">
        <v>366</v>
      </c>
      <c r="BS161" s="64">
        <v>0.25</v>
      </c>
      <c r="CE161" t="s">
        <v>799</v>
      </c>
      <c r="CF161" t="s">
        <v>1184</v>
      </c>
      <c r="CG161" t="s">
        <v>1009</v>
      </c>
    </row>
    <row r="162" spans="64:85" x14ac:dyDescent="0.3">
      <c r="BL162" s="59"/>
      <c r="BM162" s="59"/>
      <c r="BN162" s="60" t="s">
        <v>368</v>
      </c>
      <c r="BO162" s="60">
        <v>0.25</v>
      </c>
      <c r="BP162" s="62" t="s">
        <v>1440</v>
      </c>
      <c r="BQ162" s="62">
        <v>0.35</v>
      </c>
      <c r="BR162" s="64" t="s">
        <v>368</v>
      </c>
      <c r="BS162" s="64">
        <v>0.25</v>
      </c>
      <c r="CE162" t="s">
        <v>800</v>
      </c>
      <c r="CF162" t="s">
        <v>1185</v>
      </c>
      <c r="CG162" t="s">
        <v>1010</v>
      </c>
    </row>
    <row r="163" spans="64:85" x14ac:dyDescent="0.3">
      <c r="BL163" s="59"/>
      <c r="BM163" s="59"/>
      <c r="BN163" s="60" t="s">
        <v>370</v>
      </c>
      <c r="BO163" s="60">
        <v>0.25</v>
      </c>
      <c r="BP163" s="62" t="s">
        <v>1441</v>
      </c>
      <c r="BQ163" s="62">
        <v>0.45</v>
      </c>
      <c r="BR163" s="64" t="s">
        <v>370</v>
      </c>
      <c r="BS163" s="64">
        <v>0.25</v>
      </c>
      <c r="CE163" t="s">
        <v>801</v>
      </c>
      <c r="CF163" t="s">
        <v>1261</v>
      </c>
      <c r="CG163" t="s">
        <v>1011</v>
      </c>
    </row>
    <row r="164" spans="64:85" x14ac:dyDescent="0.3">
      <c r="BL164" s="59"/>
      <c r="BM164" s="59"/>
      <c r="BN164" s="60" t="s">
        <v>372</v>
      </c>
      <c r="BO164" s="60">
        <v>0.3</v>
      </c>
      <c r="BP164" s="62" t="s">
        <v>1442</v>
      </c>
      <c r="BQ164" s="62">
        <v>0.55000000000000004</v>
      </c>
      <c r="BR164" s="64" t="s">
        <v>372</v>
      </c>
      <c r="BS164" s="64">
        <v>0.3</v>
      </c>
      <c r="CE164" t="s">
        <v>802</v>
      </c>
      <c r="CF164" t="s">
        <v>1186</v>
      </c>
      <c r="CG164" t="s">
        <v>1012</v>
      </c>
    </row>
    <row r="165" spans="64:85" x14ac:dyDescent="0.3">
      <c r="BL165" s="59"/>
      <c r="BM165" s="59"/>
      <c r="BN165" s="60" t="s">
        <v>374</v>
      </c>
      <c r="BO165" s="60">
        <v>0.3</v>
      </c>
      <c r="BP165" s="62" t="s">
        <v>1443</v>
      </c>
      <c r="BQ165" s="62">
        <v>0.65</v>
      </c>
      <c r="BR165" s="64" t="s">
        <v>374</v>
      </c>
      <c r="BS165" s="64">
        <v>0.3</v>
      </c>
      <c r="CE165" t="s">
        <v>803</v>
      </c>
      <c r="CF165" t="s">
        <v>1244</v>
      </c>
      <c r="CG165" t="s">
        <v>1013</v>
      </c>
    </row>
    <row r="166" spans="64:85" x14ac:dyDescent="0.3">
      <c r="BL166" s="59"/>
      <c r="BM166" s="59"/>
      <c r="BN166" s="60" t="s">
        <v>376</v>
      </c>
      <c r="BO166" s="60">
        <v>0.35</v>
      </c>
      <c r="BP166" s="62" t="s">
        <v>1444</v>
      </c>
      <c r="BQ166" s="62">
        <v>0.1</v>
      </c>
      <c r="BR166" s="64" t="s">
        <v>376</v>
      </c>
      <c r="BS166" s="64">
        <v>0.35</v>
      </c>
      <c r="CE166" t="s">
        <v>804</v>
      </c>
      <c r="CF166" t="s">
        <v>1245</v>
      </c>
      <c r="CG166" t="s">
        <v>1014</v>
      </c>
    </row>
    <row r="167" spans="64:85" x14ac:dyDescent="0.3">
      <c r="BL167" s="59"/>
      <c r="BM167" s="59"/>
      <c r="BN167" s="60" t="s">
        <v>572</v>
      </c>
      <c r="BO167" s="60">
        <v>0.6</v>
      </c>
      <c r="BP167" s="62" t="s">
        <v>1445</v>
      </c>
      <c r="BQ167" s="62">
        <v>0.15</v>
      </c>
      <c r="BR167" s="64" t="s">
        <v>572</v>
      </c>
      <c r="BS167" s="64">
        <v>0.6</v>
      </c>
      <c r="CE167" t="s">
        <v>805</v>
      </c>
      <c r="CF167" t="s">
        <v>1187</v>
      </c>
      <c r="CG167" t="s">
        <v>1015</v>
      </c>
    </row>
    <row r="168" spans="64:85" x14ac:dyDescent="0.3">
      <c r="BL168" s="59"/>
      <c r="BM168" s="59"/>
      <c r="BN168" s="60" t="s">
        <v>378</v>
      </c>
      <c r="BO168" s="60">
        <v>0.2</v>
      </c>
      <c r="BP168" s="62" t="s">
        <v>1446</v>
      </c>
      <c r="BQ168" s="62">
        <v>0.05</v>
      </c>
      <c r="BR168" s="64" t="s">
        <v>378</v>
      </c>
      <c r="BS168" s="64">
        <v>0.2</v>
      </c>
      <c r="CE168" t="s">
        <v>806</v>
      </c>
      <c r="CF168" t="s">
        <v>1188</v>
      </c>
      <c r="CG168" t="s">
        <v>1016</v>
      </c>
    </row>
    <row r="169" spans="64:85" x14ac:dyDescent="0.3">
      <c r="BL169" s="59"/>
      <c r="BM169" s="59"/>
      <c r="BN169" s="60" t="s">
        <v>380</v>
      </c>
      <c r="BO169" s="60">
        <v>0.25</v>
      </c>
      <c r="BP169" s="62" t="s">
        <v>1447</v>
      </c>
      <c r="BQ169" s="62">
        <v>0.1</v>
      </c>
      <c r="BR169" s="64" t="s">
        <v>380</v>
      </c>
      <c r="BS169" s="64">
        <v>0.25</v>
      </c>
      <c r="CE169" t="s">
        <v>807</v>
      </c>
      <c r="CF169" t="s">
        <v>1189</v>
      </c>
      <c r="CG169" t="s">
        <v>1017</v>
      </c>
    </row>
    <row r="170" spans="64:85" x14ac:dyDescent="0.3">
      <c r="BL170" s="59"/>
      <c r="BM170" s="59"/>
      <c r="BN170" s="60" t="s">
        <v>382</v>
      </c>
      <c r="BO170" s="60">
        <v>0.3</v>
      </c>
      <c r="BP170" s="62" t="s">
        <v>1448</v>
      </c>
      <c r="BQ170" s="62">
        <v>0.2</v>
      </c>
      <c r="BR170" s="64" t="s">
        <v>382</v>
      </c>
      <c r="BS170" s="64">
        <v>0.3</v>
      </c>
      <c r="CE170" t="s">
        <v>808</v>
      </c>
      <c r="CF170" t="s">
        <v>1246</v>
      </c>
      <c r="CG170" t="s">
        <v>1018</v>
      </c>
    </row>
    <row r="171" spans="64:85" x14ac:dyDescent="0.3">
      <c r="BL171" s="59"/>
      <c r="BM171" s="59"/>
      <c r="BN171" s="60" t="s">
        <v>384</v>
      </c>
      <c r="BO171" s="60">
        <v>0.3</v>
      </c>
      <c r="BP171" s="62" t="s">
        <v>1449</v>
      </c>
      <c r="BQ171" s="62">
        <v>0.2</v>
      </c>
      <c r="BR171" s="64" t="s">
        <v>384</v>
      </c>
      <c r="BS171" s="64">
        <v>0.3</v>
      </c>
      <c r="CE171" t="s">
        <v>809</v>
      </c>
      <c r="CF171" t="s">
        <v>1190</v>
      </c>
      <c r="CG171" t="s">
        <v>1019</v>
      </c>
    </row>
    <row r="172" spans="64:85" x14ac:dyDescent="0.3">
      <c r="BL172" s="59"/>
      <c r="BM172" s="59"/>
      <c r="BN172" s="60" t="s">
        <v>1318</v>
      </c>
      <c r="BO172" s="60">
        <v>0.35</v>
      </c>
      <c r="BP172" s="62" t="s">
        <v>1450</v>
      </c>
      <c r="BQ172" s="62">
        <v>0.2</v>
      </c>
      <c r="BR172" s="66" t="s">
        <v>1318</v>
      </c>
      <c r="BS172" s="64">
        <v>0.35</v>
      </c>
      <c r="CE172" t="s">
        <v>810</v>
      </c>
      <c r="CF172" t="s">
        <v>1247</v>
      </c>
      <c r="CG172" t="s">
        <v>1020</v>
      </c>
    </row>
    <row r="173" spans="64:85" x14ac:dyDescent="0.3">
      <c r="BL173" s="59"/>
      <c r="BM173" s="59"/>
      <c r="BN173" s="60" t="s">
        <v>386</v>
      </c>
      <c r="BO173" s="60">
        <v>0.35</v>
      </c>
      <c r="BP173" s="62" t="s">
        <v>1451</v>
      </c>
      <c r="BQ173" s="62">
        <v>0.3</v>
      </c>
      <c r="BR173" s="64" t="s">
        <v>386</v>
      </c>
      <c r="BS173" s="64">
        <v>0.35</v>
      </c>
      <c r="CE173" t="s">
        <v>811</v>
      </c>
      <c r="CF173" t="s">
        <v>1191</v>
      </c>
      <c r="CG173" t="s">
        <v>1021</v>
      </c>
    </row>
    <row r="174" spans="64:85" x14ac:dyDescent="0.3">
      <c r="BL174" s="59"/>
      <c r="BM174" s="59"/>
      <c r="BN174" s="60" t="s">
        <v>574</v>
      </c>
      <c r="BO174" s="60">
        <v>0.4</v>
      </c>
      <c r="BP174" s="62" t="s">
        <v>1452</v>
      </c>
      <c r="BQ174" s="62">
        <v>0.15</v>
      </c>
      <c r="BR174" s="64" t="s">
        <v>574</v>
      </c>
      <c r="BS174" s="64">
        <v>0.4</v>
      </c>
      <c r="CE174" t="s">
        <v>812</v>
      </c>
      <c r="CF174" t="s">
        <v>1192</v>
      </c>
      <c r="CG174" t="s">
        <v>1022</v>
      </c>
    </row>
    <row r="175" spans="64:85" x14ac:dyDescent="0.3">
      <c r="BL175" s="59"/>
      <c r="BM175" s="59"/>
      <c r="BN175" s="60" t="s">
        <v>388</v>
      </c>
      <c r="BO175" s="60">
        <v>0.4</v>
      </c>
      <c r="BP175" s="62" t="s">
        <v>1453</v>
      </c>
      <c r="BQ175" s="62">
        <v>0.15</v>
      </c>
      <c r="BR175" s="64" t="s">
        <v>388</v>
      </c>
      <c r="BS175" s="64">
        <v>0.4</v>
      </c>
      <c r="CE175" t="s">
        <v>813</v>
      </c>
      <c r="CF175" t="s">
        <v>1248</v>
      </c>
      <c r="CG175" t="s">
        <v>1023</v>
      </c>
    </row>
    <row r="176" spans="64:85" x14ac:dyDescent="0.3">
      <c r="BL176" s="59"/>
      <c r="BM176" s="59"/>
      <c r="BN176" s="60" t="s">
        <v>390</v>
      </c>
      <c r="BO176" s="60">
        <v>0.45</v>
      </c>
      <c r="BP176" s="62" t="s">
        <v>1454</v>
      </c>
      <c r="BQ176" s="62">
        <v>0.2</v>
      </c>
      <c r="BR176" s="64" t="s">
        <v>390</v>
      </c>
      <c r="BS176" s="64">
        <v>0.45</v>
      </c>
      <c r="CE176" t="s">
        <v>814</v>
      </c>
      <c r="CF176" t="s">
        <v>1193</v>
      </c>
      <c r="CG176" t="s">
        <v>1024</v>
      </c>
    </row>
    <row r="177" spans="64:85" x14ac:dyDescent="0.3">
      <c r="BL177" s="59"/>
      <c r="BM177" s="59"/>
      <c r="BN177" s="60" t="s">
        <v>392</v>
      </c>
      <c r="BO177" s="60">
        <v>0.45</v>
      </c>
      <c r="BP177" s="62" t="s">
        <v>1455</v>
      </c>
      <c r="BQ177" s="62">
        <v>0.15</v>
      </c>
      <c r="BR177" s="64" t="s">
        <v>392</v>
      </c>
      <c r="BS177" s="64">
        <v>0.45</v>
      </c>
      <c r="CE177" t="s">
        <v>815</v>
      </c>
      <c r="CF177" t="s">
        <v>1249</v>
      </c>
      <c r="CG177" t="s">
        <v>1025</v>
      </c>
    </row>
    <row r="178" spans="64:85" x14ac:dyDescent="0.3">
      <c r="BL178" s="59"/>
      <c r="BM178" s="59"/>
      <c r="BN178" s="60" t="s">
        <v>394</v>
      </c>
      <c r="BO178" s="60">
        <v>0.45</v>
      </c>
      <c r="BP178" s="62" t="s">
        <v>1456</v>
      </c>
      <c r="BQ178" s="62">
        <v>0.25</v>
      </c>
      <c r="BR178" s="64" t="s">
        <v>394</v>
      </c>
      <c r="BS178" s="64">
        <v>0.45</v>
      </c>
      <c r="CE178" t="s">
        <v>816</v>
      </c>
      <c r="CF178" t="s">
        <v>1194</v>
      </c>
      <c r="CG178" t="s">
        <v>1026</v>
      </c>
    </row>
    <row r="179" spans="64:85" x14ac:dyDescent="0.3">
      <c r="BL179" s="59"/>
      <c r="BM179" s="59"/>
      <c r="BN179" s="60" t="s">
        <v>396</v>
      </c>
      <c r="BO179" s="60">
        <v>0.6</v>
      </c>
      <c r="BP179" s="62" t="s">
        <v>1457</v>
      </c>
      <c r="BQ179" s="62">
        <v>0.25</v>
      </c>
      <c r="BR179" s="64" t="s">
        <v>396</v>
      </c>
      <c r="BS179" s="64">
        <v>0.6</v>
      </c>
      <c r="CE179" t="s">
        <v>817</v>
      </c>
      <c r="CF179" t="s">
        <v>1250</v>
      </c>
      <c r="CG179" t="s">
        <v>1027</v>
      </c>
    </row>
    <row r="180" spans="64:85" x14ac:dyDescent="0.3">
      <c r="BL180" s="59"/>
      <c r="BM180" s="59"/>
      <c r="BN180" s="60" t="s">
        <v>398</v>
      </c>
      <c r="BO180" s="60">
        <v>1</v>
      </c>
      <c r="BP180" s="62" t="s">
        <v>1458</v>
      </c>
      <c r="BQ180" s="62">
        <v>0.25</v>
      </c>
      <c r="BR180" s="64" t="s">
        <v>398</v>
      </c>
      <c r="BS180" s="64">
        <v>1</v>
      </c>
      <c r="CE180" t="s">
        <v>818</v>
      </c>
      <c r="CF180" t="s">
        <v>1251</v>
      </c>
      <c r="CG180" t="s">
        <v>1028</v>
      </c>
    </row>
    <row r="181" spans="64:85" x14ac:dyDescent="0.3">
      <c r="BL181" s="59"/>
      <c r="BM181" s="59"/>
      <c r="BN181" s="60"/>
      <c r="BO181" s="60"/>
      <c r="BP181" s="62" t="s">
        <v>1459</v>
      </c>
      <c r="BQ181" s="62">
        <v>0.3</v>
      </c>
      <c r="BR181" s="64" t="s">
        <v>1405</v>
      </c>
      <c r="BS181" s="64">
        <v>0.25</v>
      </c>
      <c r="CE181" t="s">
        <v>819</v>
      </c>
      <c r="CF181" t="s">
        <v>1252</v>
      </c>
      <c r="CG181" t="s">
        <v>1029</v>
      </c>
    </row>
    <row r="182" spans="64:85" x14ac:dyDescent="0.3">
      <c r="BL182" s="59"/>
      <c r="BM182" s="59"/>
      <c r="BN182" s="60"/>
      <c r="BO182" s="60"/>
      <c r="BP182" s="62" t="s">
        <v>1460</v>
      </c>
      <c r="BQ182" s="62">
        <v>0.3</v>
      </c>
      <c r="BR182" s="64"/>
      <c r="BS182" s="64"/>
      <c r="CE182" t="s">
        <v>820</v>
      </c>
      <c r="CF182" t="s">
        <v>1195</v>
      </c>
      <c r="CG182" t="s">
        <v>1030</v>
      </c>
    </row>
    <row r="183" spans="64:85" x14ac:dyDescent="0.3">
      <c r="BL183" s="59"/>
      <c r="BM183" s="59"/>
      <c r="BN183" s="60"/>
      <c r="BO183" s="60"/>
      <c r="BP183" s="62" t="s">
        <v>1461</v>
      </c>
      <c r="BQ183" s="62">
        <v>0.35</v>
      </c>
      <c r="BR183" s="64"/>
      <c r="BS183" s="64"/>
      <c r="CE183" t="s">
        <v>821</v>
      </c>
      <c r="CF183" t="s">
        <v>1196</v>
      </c>
      <c r="CG183" t="s">
        <v>1031</v>
      </c>
    </row>
    <row r="184" spans="64:85" x14ac:dyDescent="0.3">
      <c r="BL184" s="59"/>
      <c r="BM184" s="59"/>
      <c r="BN184" s="60" t="s">
        <v>576</v>
      </c>
      <c r="BO184" s="60">
        <v>0.05</v>
      </c>
      <c r="BP184" s="62" t="s">
        <v>1462</v>
      </c>
      <c r="BQ184" s="62">
        <v>0.6</v>
      </c>
      <c r="BR184" s="64"/>
      <c r="BS184" s="64"/>
      <c r="CE184" t="s">
        <v>822</v>
      </c>
      <c r="CF184" t="s">
        <v>638</v>
      </c>
      <c r="CG184" t="s">
        <v>1032</v>
      </c>
    </row>
    <row r="185" spans="64:85" x14ac:dyDescent="0.3">
      <c r="BL185" s="59"/>
      <c r="BM185" s="59"/>
      <c r="BN185" s="60" t="s">
        <v>322</v>
      </c>
      <c r="BO185" s="60">
        <v>0.05</v>
      </c>
      <c r="BP185" s="62" t="s">
        <v>1463</v>
      </c>
      <c r="BQ185" s="62">
        <v>0.2</v>
      </c>
      <c r="BR185" s="64"/>
      <c r="BS185" s="64"/>
      <c r="CE185" t="s">
        <v>823</v>
      </c>
      <c r="CF185" t="s">
        <v>1197</v>
      </c>
      <c r="CG185" t="s">
        <v>1033</v>
      </c>
    </row>
    <row r="186" spans="64:85" x14ac:dyDescent="0.3">
      <c r="BL186" s="59"/>
      <c r="BM186" s="59"/>
      <c r="BN186" s="60" t="s">
        <v>324</v>
      </c>
      <c r="BO186" s="60">
        <v>0.1</v>
      </c>
      <c r="BP186" s="62" t="s">
        <v>1464</v>
      </c>
      <c r="BQ186" s="62">
        <v>0.25</v>
      </c>
      <c r="BR186" s="64"/>
      <c r="BS186" s="64"/>
      <c r="CE186" t="s">
        <v>824</v>
      </c>
      <c r="CF186" t="s">
        <v>1253</v>
      </c>
      <c r="CG186" t="s">
        <v>1034</v>
      </c>
    </row>
    <row r="187" spans="64:85" x14ac:dyDescent="0.3">
      <c r="BL187" s="59"/>
      <c r="BM187" s="59"/>
      <c r="BN187" s="60" t="s">
        <v>327</v>
      </c>
      <c r="BO187" s="60">
        <v>0.2</v>
      </c>
      <c r="BP187" s="62" t="s">
        <v>1465</v>
      </c>
      <c r="BQ187" s="62">
        <v>0.3</v>
      </c>
      <c r="BR187" s="64"/>
      <c r="BS187" s="64"/>
      <c r="CE187" t="s">
        <v>825</v>
      </c>
      <c r="CF187" t="s">
        <v>1198</v>
      </c>
      <c r="CG187" t="s">
        <v>1035</v>
      </c>
    </row>
    <row r="188" spans="64:85" x14ac:dyDescent="0.3">
      <c r="BL188" s="59"/>
      <c r="BM188" s="59"/>
      <c r="BN188" s="60" t="s">
        <v>328</v>
      </c>
      <c r="BO188" s="60">
        <v>0.3</v>
      </c>
      <c r="BP188" s="62" t="s">
        <v>1466</v>
      </c>
      <c r="BQ188" s="62">
        <v>0.3</v>
      </c>
      <c r="BR188" s="64"/>
      <c r="BS188" s="64"/>
      <c r="CE188" t="s">
        <v>826</v>
      </c>
      <c r="CF188" t="s">
        <v>1199</v>
      </c>
      <c r="CG188" t="s">
        <v>1036</v>
      </c>
    </row>
    <row r="189" spans="64:85" x14ac:dyDescent="0.3">
      <c r="BL189" s="59"/>
      <c r="BM189" s="59"/>
      <c r="BN189" s="60" t="s">
        <v>330</v>
      </c>
      <c r="BO189" s="60">
        <v>0.3</v>
      </c>
      <c r="BP189" s="62" t="s">
        <v>1467</v>
      </c>
      <c r="BQ189" s="62">
        <v>0.35</v>
      </c>
      <c r="BR189" s="64"/>
      <c r="BS189" s="64"/>
      <c r="CE189" t="s">
        <v>827</v>
      </c>
      <c r="CF189" t="s">
        <v>1200</v>
      </c>
      <c r="CG189" t="s">
        <v>1037</v>
      </c>
    </row>
    <row r="190" spans="64:85" x14ac:dyDescent="0.3">
      <c r="BL190" s="59"/>
      <c r="BM190" s="59"/>
      <c r="BN190" s="60" t="s">
        <v>332</v>
      </c>
      <c r="BO190" s="60">
        <v>0.4</v>
      </c>
      <c r="BP190" s="62" t="s">
        <v>1468</v>
      </c>
      <c r="BQ190" s="62">
        <v>0.35</v>
      </c>
      <c r="BR190" s="64"/>
      <c r="BS190" s="64"/>
      <c r="CE190" t="s">
        <v>828</v>
      </c>
      <c r="CF190" t="s">
        <v>1201</v>
      </c>
      <c r="CG190" t="s">
        <v>1038</v>
      </c>
    </row>
    <row r="191" spans="64:85" x14ac:dyDescent="0.3">
      <c r="BL191" s="59"/>
      <c r="BM191" s="59"/>
      <c r="BN191" s="60" t="s">
        <v>334</v>
      </c>
      <c r="BO191" s="60">
        <v>0.1</v>
      </c>
      <c r="BP191" s="62" t="s">
        <v>1469</v>
      </c>
      <c r="BQ191" s="62">
        <v>0.4</v>
      </c>
      <c r="BR191" s="64"/>
      <c r="BS191" s="64"/>
      <c r="CE191" t="s">
        <v>829</v>
      </c>
      <c r="CF191" t="s">
        <v>1202</v>
      </c>
      <c r="CG191" t="s">
        <v>1039</v>
      </c>
    </row>
    <row r="192" spans="64:85" x14ac:dyDescent="0.3">
      <c r="BL192" s="59"/>
      <c r="BM192" s="59"/>
      <c r="BN192" s="60" t="s">
        <v>336</v>
      </c>
      <c r="BO192" s="60">
        <v>0.25</v>
      </c>
      <c r="BP192" s="62" t="s">
        <v>1470</v>
      </c>
      <c r="BQ192" s="62">
        <v>0.4</v>
      </c>
      <c r="BR192" s="64"/>
      <c r="BS192" s="64"/>
      <c r="CE192" t="s">
        <v>830</v>
      </c>
      <c r="CF192" t="s">
        <v>1254</v>
      </c>
      <c r="CG192" t="s">
        <v>1040</v>
      </c>
    </row>
    <row r="193" spans="64:85" x14ac:dyDescent="0.3">
      <c r="BL193" s="59"/>
      <c r="BM193" s="59"/>
      <c r="BN193" s="60" t="s">
        <v>338</v>
      </c>
      <c r="BO193" s="60">
        <v>0.3</v>
      </c>
      <c r="BP193" s="62" t="s">
        <v>1471</v>
      </c>
      <c r="BQ193" s="62">
        <v>0.45</v>
      </c>
      <c r="BR193" s="64"/>
      <c r="BS193" s="64"/>
      <c r="CE193" t="s">
        <v>831</v>
      </c>
      <c r="CF193" t="s">
        <v>1203</v>
      </c>
      <c r="CG193" t="s">
        <v>1041</v>
      </c>
    </row>
    <row r="194" spans="64:85" x14ac:dyDescent="0.3">
      <c r="BL194" s="59"/>
      <c r="BM194" s="59"/>
      <c r="BN194" s="60" t="s">
        <v>340</v>
      </c>
      <c r="BO194" s="60">
        <v>0.45</v>
      </c>
      <c r="BP194" s="62" t="s">
        <v>1472</v>
      </c>
      <c r="BQ194" s="62">
        <v>0.45</v>
      </c>
      <c r="BR194" s="64"/>
      <c r="BS194" s="64"/>
      <c r="CE194" t="s">
        <v>1478</v>
      </c>
      <c r="CF194" t="s">
        <v>1479</v>
      </c>
      <c r="CG194" t="s">
        <v>1042</v>
      </c>
    </row>
    <row r="195" spans="64:85" x14ac:dyDescent="0.3">
      <c r="BL195" s="59"/>
      <c r="BM195" s="59"/>
      <c r="BN195" s="60" t="s">
        <v>342</v>
      </c>
      <c r="BO195" s="60">
        <v>0.4</v>
      </c>
      <c r="BP195" s="62" t="s">
        <v>1473</v>
      </c>
      <c r="BQ195" s="62">
        <v>0.45</v>
      </c>
      <c r="BR195" s="64"/>
      <c r="BS195" s="64"/>
      <c r="CE195" t="s">
        <v>832</v>
      </c>
      <c r="CF195" t="s">
        <v>1204</v>
      </c>
      <c r="CG195" t="s">
        <v>1043</v>
      </c>
    </row>
    <row r="196" spans="64:85" x14ac:dyDescent="0.3">
      <c r="BL196" s="59"/>
      <c r="BM196" s="59"/>
      <c r="BN196" s="60" t="s">
        <v>344</v>
      </c>
      <c r="BO196" s="60">
        <v>0.1</v>
      </c>
      <c r="BP196" s="62" t="s">
        <v>1474</v>
      </c>
      <c r="BQ196" s="62">
        <v>0.6</v>
      </c>
      <c r="BR196" s="64"/>
      <c r="BS196" s="64"/>
      <c r="CE196" t="s">
        <v>833</v>
      </c>
      <c r="CF196" t="s">
        <v>1255</v>
      </c>
      <c r="CG196" t="s">
        <v>1044</v>
      </c>
    </row>
    <row r="197" spans="64:85" x14ac:dyDescent="0.3">
      <c r="BL197" s="59"/>
      <c r="BM197" s="59"/>
      <c r="BN197" s="60" t="s">
        <v>346</v>
      </c>
      <c r="BO197" s="60">
        <v>0.1</v>
      </c>
      <c r="BP197" s="62" t="s">
        <v>1475</v>
      </c>
      <c r="BQ197" s="62">
        <v>1</v>
      </c>
      <c r="BR197" s="64" t="s">
        <v>576</v>
      </c>
      <c r="BS197" s="64">
        <v>0.05</v>
      </c>
      <c r="CE197" t="s">
        <v>834</v>
      </c>
      <c r="CF197" t="s">
        <v>1205</v>
      </c>
      <c r="CG197" t="s">
        <v>1045</v>
      </c>
    </row>
    <row r="198" spans="64:85" x14ac:dyDescent="0.3">
      <c r="BL198" s="59"/>
      <c r="BM198" s="59"/>
      <c r="BN198" s="60" t="s">
        <v>348</v>
      </c>
      <c r="BO198" s="60">
        <v>0.05</v>
      </c>
      <c r="BP198" s="62"/>
      <c r="BQ198" s="62"/>
      <c r="BR198" s="64" t="s">
        <v>322</v>
      </c>
      <c r="BS198" s="64">
        <v>0.05</v>
      </c>
      <c r="CE198" t="s">
        <v>835</v>
      </c>
      <c r="CF198" t="s">
        <v>1206</v>
      </c>
      <c r="CG198" t="s">
        <v>1046</v>
      </c>
    </row>
    <row r="199" spans="64:85" x14ac:dyDescent="0.3">
      <c r="BL199" s="59"/>
      <c r="BM199" s="59"/>
      <c r="BN199" s="60" t="s">
        <v>350</v>
      </c>
      <c r="BO199" s="60">
        <v>0.1</v>
      </c>
      <c r="BP199" s="62"/>
      <c r="BQ199" s="62"/>
      <c r="BR199" s="64" t="s">
        <v>324</v>
      </c>
      <c r="BS199" s="64">
        <v>0.1</v>
      </c>
      <c r="CE199" t="s">
        <v>836</v>
      </c>
      <c r="CF199" t="s">
        <v>1256</v>
      </c>
      <c r="CG199" t="s">
        <v>1047</v>
      </c>
    </row>
    <row r="200" spans="64:85" x14ac:dyDescent="0.3">
      <c r="BL200" s="59"/>
      <c r="BM200" s="59"/>
      <c r="BN200" s="60" t="s">
        <v>352</v>
      </c>
      <c r="BO200" s="60">
        <v>0.2</v>
      </c>
      <c r="BP200" s="62"/>
      <c r="BQ200" s="62"/>
      <c r="BR200" s="64" t="s">
        <v>327</v>
      </c>
      <c r="BS200" s="64">
        <v>0.2</v>
      </c>
      <c r="CE200" t="s">
        <v>837</v>
      </c>
      <c r="CF200" t="s">
        <v>1257</v>
      </c>
      <c r="CG200" t="s">
        <v>1048</v>
      </c>
    </row>
    <row r="201" spans="64:85" x14ac:dyDescent="0.3">
      <c r="BL201" s="59"/>
      <c r="BM201" s="59"/>
      <c r="BN201" s="60" t="s">
        <v>577</v>
      </c>
      <c r="BO201" s="60">
        <v>0.2</v>
      </c>
      <c r="BP201" s="62"/>
      <c r="BQ201" s="62"/>
      <c r="BR201" s="64" t="s">
        <v>328</v>
      </c>
      <c r="BS201" s="64">
        <v>0.3</v>
      </c>
      <c r="CE201" t="s">
        <v>838</v>
      </c>
      <c r="CF201" t="s">
        <v>1207</v>
      </c>
      <c r="CG201" t="s">
        <v>1049</v>
      </c>
    </row>
    <row r="202" spans="64:85" x14ac:dyDescent="0.3">
      <c r="BL202" s="59"/>
      <c r="BM202" s="59"/>
      <c r="BN202" s="60" t="s">
        <v>355</v>
      </c>
      <c r="BO202" s="60">
        <v>0.1</v>
      </c>
      <c r="BP202" s="62"/>
      <c r="BQ202" s="62"/>
      <c r="BR202" s="64" t="s">
        <v>330</v>
      </c>
      <c r="BS202" s="64">
        <v>0.3</v>
      </c>
      <c r="CE202" t="s">
        <v>839</v>
      </c>
      <c r="CF202" t="s">
        <v>1208</v>
      </c>
      <c r="CG202" t="s">
        <v>1050</v>
      </c>
    </row>
    <row r="203" spans="64:85" x14ac:dyDescent="0.3">
      <c r="BL203" s="59"/>
      <c r="BM203" s="59"/>
      <c r="BN203" s="60" t="s">
        <v>357</v>
      </c>
      <c r="BO203" s="60">
        <v>0.2</v>
      </c>
      <c r="BP203" s="62"/>
      <c r="BQ203" s="62"/>
      <c r="BR203" s="64" t="s">
        <v>332</v>
      </c>
      <c r="BS203" s="64">
        <v>0.4</v>
      </c>
      <c r="CE203" t="s">
        <v>840</v>
      </c>
      <c r="CF203" t="s">
        <v>1209</v>
      </c>
      <c r="CG203" t="s">
        <v>1051</v>
      </c>
    </row>
    <row r="204" spans="64:85" x14ac:dyDescent="0.3">
      <c r="BL204" s="59"/>
      <c r="BM204" s="59"/>
      <c r="BN204" s="60" t="s">
        <v>359</v>
      </c>
      <c r="BO204" s="60">
        <v>0.05</v>
      </c>
      <c r="BP204" s="62"/>
      <c r="BQ204" s="62"/>
      <c r="BR204" s="64" t="s">
        <v>334</v>
      </c>
      <c r="BS204" s="64">
        <v>0.1</v>
      </c>
      <c r="CE204" t="s">
        <v>841</v>
      </c>
      <c r="CF204" t="s">
        <v>1210</v>
      </c>
      <c r="CG204" t="s">
        <v>1052</v>
      </c>
    </row>
    <row r="205" spans="64:85" x14ac:dyDescent="0.3">
      <c r="BL205" s="59"/>
      <c r="BM205" s="59"/>
      <c r="BN205" s="60" t="s">
        <v>361</v>
      </c>
      <c r="BO205" s="60">
        <v>0.05</v>
      </c>
      <c r="BP205" s="62"/>
      <c r="BQ205" s="62"/>
      <c r="BR205" s="64" t="s">
        <v>336</v>
      </c>
      <c r="BS205" s="64">
        <v>0.25</v>
      </c>
      <c r="CE205" t="s">
        <v>842</v>
      </c>
      <c r="CF205" t="s">
        <v>1211</v>
      </c>
      <c r="CG205" t="s">
        <v>1053</v>
      </c>
    </row>
    <row r="206" spans="64:85" x14ac:dyDescent="0.3">
      <c r="BL206" s="59"/>
      <c r="BM206" s="59"/>
      <c r="BN206" s="60" t="s">
        <v>363</v>
      </c>
      <c r="BO206" s="60">
        <v>0.05</v>
      </c>
      <c r="BP206" s="62"/>
      <c r="BQ206" s="62"/>
      <c r="BR206" s="64" t="s">
        <v>338</v>
      </c>
      <c r="BS206" s="64">
        <v>0.3</v>
      </c>
      <c r="CE206" t="s">
        <v>843</v>
      </c>
      <c r="CF206" t="s">
        <v>1262</v>
      </c>
      <c r="CG206" t="s">
        <v>1054</v>
      </c>
    </row>
    <row r="207" spans="64:85" x14ac:dyDescent="0.3">
      <c r="BL207" s="59"/>
      <c r="BM207" s="59"/>
      <c r="BN207" s="60" t="s">
        <v>365</v>
      </c>
      <c r="BO207" s="60">
        <v>0.05</v>
      </c>
      <c r="BP207" s="62"/>
      <c r="BQ207" s="62"/>
      <c r="BR207" s="64" t="s">
        <v>340</v>
      </c>
      <c r="BS207" s="64">
        <v>0.45</v>
      </c>
      <c r="CE207" t="s">
        <v>844</v>
      </c>
      <c r="CF207" t="s">
        <v>1212</v>
      </c>
      <c r="CG207" t="s">
        <v>1055</v>
      </c>
    </row>
    <row r="208" spans="64:85" x14ac:dyDescent="0.3">
      <c r="BL208" s="59"/>
      <c r="BM208" s="59"/>
      <c r="BN208" s="60" t="s">
        <v>367</v>
      </c>
      <c r="BO208" s="60">
        <v>0.1</v>
      </c>
      <c r="BP208" s="62"/>
      <c r="BQ208" s="62"/>
      <c r="BR208" s="64" t="s">
        <v>342</v>
      </c>
      <c r="BS208" s="64">
        <v>0.4</v>
      </c>
      <c r="CE208" t="s">
        <v>845</v>
      </c>
      <c r="CF208" t="s">
        <v>1213</v>
      </c>
      <c r="CG208" t="s">
        <v>1056</v>
      </c>
    </row>
    <row r="209" spans="64:85" x14ac:dyDescent="0.3">
      <c r="BL209" s="59"/>
      <c r="BM209" s="59"/>
      <c r="BN209" s="60" t="s">
        <v>369</v>
      </c>
      <c r="BO209" s="60">
        <v>0.1</v>
      </c>
      <c r="BP209" s="62"/>
      <c r="BQ209" s="62"/>
      <c r="BR209" s="64" t="s">
        <v>344</v>
      </c>
      <c r="BS209" s="64">
        <v>0.1</v>
      </c>
      <c r="CE209" t="s">
        <v>846</v>
      </c>
      <c r="CF209" t="s">
        <v>1214</v>
      </c>
      <c r="CG209" t="s">
        <v>1057</v>
      </c>
    </row>
    <row r="210" spans="64:85" x14ac:dyDescent="0.3">
      <c r="BL210" s="59"/>
      <c r="BM210" s="59"/>
      <c r="BN210" s="60" t="s">
        <v>371</v>
      </c>
      <c r="BO210" s="60">
        <v>0.1</v>
      </c>
      <c r="BP210" s="62"/>
      <c r="BQ210" s="62"/>
      <c r="BR210" s="64" t="s">
        <v>346</v>
      </c>
      <c r="BS210" s="64">
        <v>0.1</v>
      </c>
    </row>
    <row r="211" spans="64:85" x14ac:dyDescent="0.3">
      <c r="BL211" s="59"/>
      <c r="BM211" s="59"/>
      <c r="BN211" s="60" t="s">
        <v>373</v>
      </c>
      <c r="BO211" s="60">
        <v>0.05</v>
      </c>
      <c r="BP211" s="62"/>
      <c r="BQ211" s="62"/>
      <c r="BR211" s="64" t="s">
        <v>348</v>
      </c>
      <c r="BS211" s="64">
        <v>0.05</v>
      </c>
    </row>
    <row r="212" spans="64:85" x14ac:dyDescent="0.3">
      <c r="BL212" s="59"/>
      <c r="BM212" s="59"/>
      <c r="BN212" s="60" t="s">
        <v>375</v>
      </c>
      <c r="BO212" s="60">
        <v>0.1</v>
      </c>
      <c r="BP212" s="62"/>
      <c r="BQ212" s="62"/>
      <c r="BR212" s="64" t="s">
        <v>350</v>
      </c>
      <c r="BS212" s="64">
        <v>0.1</v>
      </c>
    </row>
    <row r="213" spans="64:85" x14ac:dyDescent="0.3">
      <c r="BL213" s="59"/>
      <c r="BM213" s="59"/>
      <c r="BN213" s="60" t="s">
        <v>377</v>
      </c>
      <c r="BO213" s="60">
        <v>0.1</v>
      </c>
      <c r="BP213" s="62"/>
      <c r="BQ213" s="62"/>
      <c r="BR213" s="64" t="s">
        <v>352</v>
      </c>
      <c r="BS213" s="64">
        <v>0.2</v>
      </c>
    </row>
    <row r="214" spans="64:85" x14ac:dyDescent="0.3">
      <c r="BL214" s="59"/>
      <c r="BM214" s="59"/>
      <c r="BN214" s="60" t="s">
        <v>573</v>
      </c>
      <c r="BO214" s="60">
        <v>0.45</v>
      </c>
      <c r="BP214" s="62"/>
      <c r="BQ214" s="62"/>
      <c r="BR214" s="64" t="s">
        <v>577</v>
      </c>
      <c r="BS214" s="64">
        <v>0.2</v>
      </c>
    </row>
    <row r="215" spans="64:85" x14ac:dyDescent="0.3">
      <c r="BL215" s="59"/>
      <c r="BM215" s="59"/>
      <c r="BN215" s="60" t="s">
        <v>379</v>
      </c>
      <c r="BO215" s="60">
        <v>0.05</v>
      </c>
      <c r="BP215" s="62"/>
      <c r="BQ215" s="62"/>
      <c r="BR215" s="64" t="s">
        <v>355</v>
      </c>
      <c r="BS215" s="64">
        <v>0.1</v>
      </c>
    </row>
    <row r="216" spans="64:85" x14ac:dyDescent="0.3">
      <c r="BL216" s="59"/>
      <c r="BM216" s="59"/>
      <c r="BN216" s="60" t="s">
        <v>381</v>
      </c>
      <c r="BO216" s="60">
        <v>0.15</v>
      </c>
      <c r="BP216" s="62"/>
      <c r="BQ216" s="62"/>
      <c r="BR216" s="64" t="s">
        <v>357</v>
      </c>
      <c r="BS216" s="64">
        <v>0.2</v>
      </c>
    </row>
    <row r="217" spans="64:85" x14ac:dyDescent="0.3">
      <c r="BL217" s="59"/>
      <c r="BM217" s="59"/>
      <c r="BN217" s="60" t="s">
        <v>383</v>
      </c>
      <c r="BO217" s="60">
        <v>0.1</v>
      </c>
      <c r="BP217" s="62"/>
      <c r="BQ217" s="62"/>
      <c r="BR217" s="64" t="s">
        <v>359</v>
      </c>
      <c r="BS217" s="64">
        <v>0.05</v>
      </c>
    </row>
    <row r="218" spans="64:85" x14ac:dyDescent="0.3">
      <c r="BL218" s="59"/>
      <c r="BM218" s="59"/>
      <c r="BN218" s="60" t="s">
        <v>385</v>
      </c>
      <c r="BO218" s="60">
        <v>0.1</v>
      </c>
      <c r="BP218" s="62"/>
      <c r="BQ218" s="62"/>
      <c r="BR218" s="64" t="s">
        <v>361</v>
      </c>
      <c r="BS218" s="64">
        <v>0.05</v>
      </c>
    </row>
    <row r="219" spans="64:85" x14ac:dyDescent="0.3">
      <c r="BL219" s="59"/>
      <c r="BM219" s="59"/>
      <c r="BN219" s="60" t="s">
        <v>1282</v>
      </c>
      <c r="BO219" s="60">
        <v>0.2</v>
      </c>
      <c r="BP219" s="62"/>
      <c r="BQ219" s="62"/>
      <c r="BR219" s="64" t="s">
        <v>363</v>
      </c>
      <c r="BS219" s="64">
        <v>0.05</v>
      </c>
    </row>
    <row r="220" spans="64:85" x14ac:dyDescent="0.3">
      <c r="BL220" s="59"/>
      <c r="BM220" s="59"/>
      <c r="BN220" s="60" t="s">
        <v>387</v>
      </c>
      <c r="BO220" s="60">
        <v>0.15</v>
      </c>
      <c r="BP220" s="62"/>
      <c r="BQ220" s="62"/>
      <c r="BR220" s="64" t="s">
        <v>365</v>
      </c>
      <c r="BS220" s="64">
        <v>0.05</v>
      </c>
    </row>
    <row r="221" spans="64:85" x14ac:dyDescent="0.3">
      <c r="BL221" s="59"/>
      <c r="BM221" s="59"/>
      <c r="BN221" s="60" t="s">
        <v>575</v>
      </c>
      <c r="BO221" s="60">
        <v>0.15</v>
      </c>
      <c r="BP221" s="62"/>
      <c r="BQ221" s="62"/>
      <c r="BR221" s="64" t="s">
        <v>367</v>
      </c>
      <c r="BS221" s="64">
        <v>0.1</v>
      </c>
    </row>
    <row r="222" spans="64:85" x14ac:dyDescent="0.3">
      <c r="BL222" s="59"/>
      <c r="BM222" s="59"/>
      <c r="BN222" s="60" t="s">
        <v>389</v>
      </c>
      <c r="BO222" s="60">
        <v>0.2</v>
      </c>
      <c r="BP222" s="62"/>
      <c r="BQ222" s="62"/>
      <c r="BR222" s="64" t="s">
        <v>369</v>
      </c>
      <c r="BS222" s="64">
        <v>0.1</v>
      </c>
    </row>
    <row r="223" spans="64:85" x14ac:dyDescent="0.3">
      <c r="BL223" s="59"/>
      <c r="BM223" s="59"/>
      <c r="BN223" s="60" t="s">
        <v>391</v>
      </c>
      <c r="BO223" s="60">
        <v>0.15</v>
      </c>
      <c r="BP223" s="62"/>
      <c r="BQ223" s="62"/>
      <c r="BR223" s="64" t="s">
        <v>371</v>
      </c>
      <c r="BS223" s="64">
        <v>0.1</v>
      </c>
    </row>
    <row r="224" spans="64:85" x14ac:dyDescent="0.3">
      <c r="BL224" s="59"/>
      <c r="BM224" s="59"/>
      <c r="BN224" s="60" t="s">
        <v>393</v>
      </c>
      <c r="BO224" s="60">
        <v>0.2</v>
      </c>
      <c r="BP224" s="62"/>
      <c r="BQ224" s="62"/>
      <c r="BR224" s="64" t="s">
        <v>373</v>
      </c>
      <c r="BS224" s="64">
        <v>0.05</v>
      </c>
    </row>
    <row r="225" spans="64:71" x14ac:dyDescent="0.3">
      <c r="BL225" s="59"/>
      <c r="BM225" s="59"/>
      <c r="BN225" s="60" t="s">
        <v>395</v>
      </c>
      <c r="BO225" s="60">
        <v>0.2</v>
      </c>
      <c r="BP225" s="62"/>
      <c r="BQ225" s="62"/>
      <c r="BR225" s="64" t="s">
        <v>375</v>
      </c>
      <c r="BS225" s="64">
        <v>0.1</v>
      </c>
    </row>
    <row r="226" spans="64:71" x14ac:dyDescent="0.3">
      <c r="BL226" s="59"/>
      <c r="BM226" s="59"/>
      <c r="BN226" s="60" t="s">
        <v>397</v>
      </c>
      <c r="BO226" s="60">
        <v>0.3</v>
      </c>
      <c r="BP226" s="62"/>
      <c r="BQ226" s="62"/>
      <c r="BR226" s="64" t="s">
        <v>377</v>
      </c>
      <c r="BS226" s="64">
        <v>0.1</v>
      </c>
    </row>
    <row r="227" spans="64:71" x14ac:dyDescent="0.3">
      <c r="BL227" s="59"/>
      <c r="BM227" s="59"/>
      <c r="BN227" s="60" t="s">
        <v>399</v>
      </c>
      <c r="BO227" s="60">
        <v>0.5</v>
      </c>
      <c r="BP227" s="62"/>
      <c r="BQ227" s="62"/>
      <c r="BR227" s="64" t="s">
        <v>573</v>
      </c>
      <c r="BS227" s="64">
        <v>0.45</v>
      </c>
    </row>
    <row r="228" spans="64:71" x14ac:dyDescent="0.3">
      <c r="BL228" s="59"/>
      <c r="BM228" s="59"/>
      <c r="BN228" s="60"/>
      <c r="BO228" s="60"/>
      <c r="BP228" s="62"/>
      <c r="BQ228" s="62"/>
      <c r="BR228" s="64" t="s">
        <v>379</v>
      </c>
      <c r="BS228" s="64">
        <v>0.05</v>
      </c>
    </row>
    <row r="229" spans="64:71" x14ac:dyDescent="0.3">
      <c r="BL229" s="59"/>
      <c r="BM229" s="59"/>
      <c r="BN229" s="60"/>
      <c r="BO229" s="60"/>
      <c r="BP229" s="62"/>
      <c r="BQ229" s="62"/>
      <c r="BR229" s="64" t="s">
        <v>381</v>
      </c>
      <c r="BS229" s="64">
        <v>0.15</v>
      </c>
    </row>
    <row r="230" spans="64:71" x14ac:dyDescent="0.3">
      <c r="BL230" s="59"/>
      <c r="BM230" s="59"/>
      <c r="BN230" s="60"/>
      <c r="BO230" s="60"/>
      <c r="BP230" s="62"/>
      <c r="BQ230" s="62"/>
      <c r="BR230" s="64" t="s">
        <v>383</v>
      </c>
      <c r="BS230" s="64">
        <v>0.1</v>
      </c>
    </row>
    <row r="231" spans="64:71" x14ac:dyDescent="0.3">
      <c r="BL231" s="59"/>
      <c r="BM231" s="59"/>
      <c r="BN231" s="60"/>
      <c r="BO231" s="60"/>
      <c r="BP231" s="62"/>
      <c r="BQ231" s="62"/>
      <c r="BR231" s="64" t="s">
        <v>385</v>
      </c>
      <c r="BS231" s="64">
        <v>0.1</v>
      </c>
    </row>
    <row r="232" spans="64:71" x14ac:dyDescent="0.3">
      <c r="BL232" s="59"/>
      <c r="BM232" s="59"/>
      <c r="BN232" s="60"/>
      <c r="BO232" s="60"/>
      <c r="BP232" s="62"/>
      <c r="BQ232" s="62"/>
      <c r="BR232" s="64" t="s">
        <v>1282</v>
      </c>
      <c r="BS232" s="64">
        <v>0.2</v>
      </c>
    </row>
    <row r="233" spans="64:71" x14ac:dyDescent="0.3">
      <c r="BL233" s="59"/>
      <c r="BM233" s="59"/>
      <c r="BN233" s="60"/>
      <c r="BO233" s="60"/>
      <c r="BP233" s="62"/>
      <c r="BQ233" s="62"/>
      <c r="BR233" s="64" t="s">
        <v>387</v>
      </c>
      <c r="BS233" s="64">
        <v>0.15</v>
      </c>
    </row>
    <row r="234" spans="64:71" x14ac:dyDescent="0.3">
      <c r="BL234" s="59"/>
      <c r="BM234" s="59"/>
      <c r="BN234" s="60"/>
      <c r="BO234" s="60"/>
      <c r="BP234" s="62"/>
      <c r="BQ234" s="62"/>
      <c r="BR234" s="64" t="s">
        <v>575</v>
      </c>
      <c r="BS234" s="64">
        <v>0.15</v>
      </c>
    </row>
    <row r="235" spans="64:71" x14ac:dyDescent="0.3">
      <c r="BL235" s="59"/>
      <c r="BM235" s="59"/>
      <c r="BN235" s="60"/>
      <c r="BO235" s="60"/>
      <c r="BP235" s="62"/>
      <c r="BQ235" s="62"/>
      <c r="BR235" s="64" t="s">
        <v>389</v>
      </c>
      <c r="BS235" s="64">
        <v>0.2</v>
      </c>
    </row>
    <row r="236" spans="64:71" x14ac:dyDescent="0.3">
      <c r="BL236" s="59"/>
      <c r="BM236" s="59"/>
      <c r="BN236" s="60"/>
      <c r="BO236" s="60"/>
      <c r="BP236" s="62"/>
      <c r="BQ236" s="62"/>
      <c r="BR236" s="64" t="s">
        <v>391</v>
      </c>
      <c r="BS236" s="64">
        <v>0.15</v>
      </c>
    </row>
    <row r="237" spans="64:71" x14ac:dyDescent="0.3">
      <c r="BL237" s="59"/>
      <c r="BM237" s="59"/>
      <c r="BN237" s="60"/>
      <c r="BO237" s="60"/>
      <c r="BP237" s="62"/>
      <c r="BQ237" s="62"/>
      <c r="BR237" s="64" t="s">
        <v>393</v>
      </c>
      <c r="BS237" s="64">
        <v>0.2</v>
      </c>
    </row>
    <row r="238" spans="64:71" x14ac:dyDescent="0.3">
      <c r="BL238" s="59"/>
      <c r="BM238" s="59"/>
      <c r="BN238" s="60"/>
      <c r="BO238" s="60"/>
      <c r="BP238" s="62"/>
      <c r="BQ238" s="62"/>
      <c r="BR238" s="64" t="s">
        <v>395</v>
      </c>
      <c r="BS238" s="64">
        <v>0.2</v>
      </c>
    </row>
    <row r="239" spans="64:71" x14ac:dyDescent="0.3">
      <c r="BL239" s="59"/>
      <c r="BM239" s="59"/>
      <c r="BN239" s="60"/>
      <c r="BO239" s="60"/>
      <c r="BP239" s="62"/>
      <c r="BQ239" s="62"/>
      <c r="BR239" s="64" t="s">
        <v>397</v>
      </c>
      <c r="BS239" s="64">
        <v>0.3</v>
      </c>
    </row>
    <row r="240" spans="64:71" x14ac:dyDescent="0.3">
      <c r="BL240" s="59"/>
      <c r="BM240" s="59"/>
      <c r="BN240" s="60"/>
      <c r="BO240" s="60"/>
      <c r="BP240" s="62"/>
      <c r="BQ240" s="62"/>
      <c r="BR240" s="64" t="s">
        <v>399</v>
      </c>
      <c r="BS240" s="64">
        <v>0.5</v>
      </c>
    </row>
    <row r="241" spans="64:71" x14ac:dyDescent="0.3">
      <c r="BL241" s="59"/>
      <c r="BM241" s="59"/>
      <c r="BN241" s="60"/>
      <c r="BO241" s="60"/>
      <c r="BP241" s="62"/>
      <c r="BQ241" s="62"/>
      <c r="BR241" s="64"/>
      <c r="BS241" s="64"/>
    </row>
    <row r="242" spans="64:71" x14ac:dyDescent="0.3">
      <c r="BL242" s="59"/>
      <c r="BM242" s="59"/>
      <c r="BN242" s="60"/>
      <c r="BO242" s="60"/>
      <c r="BP242" s="62"/>
      <c r="BQ242" s="62"/>
      <c r="BR242" s="64"/>
      <c r="BS242" s="64"/>
    </row>
    <row r="243" spans="64:71" x14ac:dyDescent="0.3">
      <c r="BL243" s="59"/>
      <c r="BM243" s="59"/>
      <c r="BN243" s="60"/>
      <c r="BO243" s="60"/>
      <c r="BP243" s="62"/>
      <c r="BQ243" s="62"/>
      <c r="BR243" s="64"/>
      <c r="BS243" s="64"/>
    </row>
    <row r="244" spans="64:71" x14ac:dyDescent="0.3">
      <c r="BL244" s="59"/>
      <c r="BM244" s="59"/>
      <c r="BN244" s="60"/>
      <c r="BO244" s="60"/>
      <c r="BP244" s="62"/>
      <c r="BQ244" s="62"/>
      <c r="BR244" s="64"/>
      <c r="BS244" s="64"/>
    </row>
    <row r="245" spans="64:71" x14ac:dyDescent="0.3">
      <c r="BL245" s="59"/>
      <c r="BM245" s="59"/>
      <c r="BN245" s="60"/>
      <c r="BO245" s="60"/>
      <c r="BP245" s="62"/>
      <c r="BQ245" s="62"/>
      <c r="BR245" s="64"/>
      <c r="BS245" s="64"/>
    </row>
    <row r="246" spans="64:71" x14ac:dyDescent="0.3">
      <c r="BL246" s="59"/>
      <c r="BM246" s="59"/>
      <c r="BN246" s="60"/>
      <c r="BO246" s="60"/>
      <c r="BP246" s="62"/>
      <c r="BQ246" s="62"/>
      <c r="BR246" s="64"/>
      <c r="BS246" s="64"/>
    </row>
    <row r="247" spans="64:71" x14ac:dyDescent="0.3">
      <c r="BL247" s="59"/>
      <c r="BM247" s="59"/>
      <c r="BN247" s="60"/>
      <c r="BO247" s="60"/>
      <c r="BP247" s="62"/>
      <c r="BQ247" s="62"/>
      <c r="BR247" s="64"/>
      <c r="BS247" s="64"/>
    </row>
    <row r="248" spans="64:71" x14ac:dyDescent="0.3">
      <c r="BL248" s="59"/>
      <c r="BM248" s="59"/>
      <c r="BN248" s="60"/>
      <c r="BO248" s="60"/>
      <c r="BP248" s="62"/>
      <c r="BQ248" s="62"/>
      <c r="BR248" s="64"/>
      <c r="BS248" s="64"/>
    </row>
    <row r="249" spans="64:71" x14ac:dyDescent="0.3">
      <c r="BL249" s="59"/>
      <c r="BM249" s="59"/>
      <c r="BN249" s="60"/>
      <c r="BO249" s="60"/>
      <c r="BP249" s="62"/>
      <c r="BQ249" s="62"/>
      <c r="BR249" s="64"/>
      <c r="BS249" s="64"/>
    </row>
    <row r="250" spans="64:71" x14ac:dyDescent="0.3">
      <c r="BL250" s="59"/>
      <c r="BM250" s="59"/>
      <c r="BN250" s="60"/>
      <c r="BO250" s="60"/>
      <c r="BP250" s="62"/>
      <c r="BQ250" s="62"/>
      <c r="BR250" s="64"/>
      <c r="BS250" s="64"/>
    </row>
    <row r="251" spans="64:71" x14ac:dyDescent="0.3">
      <c r="BL251" s="59"/>
      <c r="BM251" s="59"/>
      <c r="BN251" s="60"/>
      <c r="BO251" s="60"/>
      <c r="BP251" s="62"/>
      <c r="BQ251" s="62"/>
      <c r="BR251" s="64"/>
      <c r="BS251" s="64"/>
    </row>
    <row r="252" spans="64:71" x14ac:dyDescent="0.3">
      <c r="BL252" s="59"/>
      <c r="BM252" s="59"/>
      <c r="BN252" s="60"/>
      <c r="BO252" s="60"/>
      <c r="BP252" s="62"/>
      <c r="BQ252" s="62"/>
      <c r="BR252" s="64"/>
      <c r="BS252" s="64"/>
    </row>
    <row r="253" spans="64:71" x14ac:dyDescent="0.3">
      <c r="BL253" s="59"/>
      <c r="BM253" s="59"/>
      <c r="BN253" s="60"/>
      <c r="BO253" s="60"/>
      <c r="BP253" s="62"/>
      <c r="BQ253" s="62"/>
      <c r="BR253" s="64"/>
      <c r="BS253" s="64"/>
    </row>
    <row r="254" spans="64:71" x14ac:dyDescent="0.3">
      <c r="BL254" s="59"/>
      <c r="BM254" s="59"/>
      <c r="BN254" s="60"/>
      <c r="BO254" s="60"/>
      <c r="BP254" s="62"/>
      <c r="BQ254" s="62"/>
      <c r="BR254" s="64"/>
      <c r="BS254" s="64"/>
    </row>
    <row r="255" spans="64:71" x14ac:dyDescent="0.3">
      <c r="BL255" s="59"/>
      <c r="BM255" s="59"/>
      <c r="BN255" s="60"/>
      <c r="BO255" s="60"/>
      <c r="BP255" s="62"/>
      <c r="BQ255" s="62"/>
      <c r="BR255" s="64"/>
      <c r="BS255" s="64"/>
    </row>
    <row r="256" spans="64:71" x14ac:dyDescent="0.3">
      <c r="BL256" s="59"/>
      <c r="BM256" s="59"/>
      <c r="BN256" s="60"/>
      <c r="BO256" s="60"/>
      <c r="BP256" s="62"/>
      <c r="BQ256" s="62"/>
      <c r="BR256" s="64"/>
      <c r="BS256" s="64"/>
    </row>
    <row r="257" spans="63:71" x14ac:dyDescent="0.3">
      <c r="BK257" s="8">
        <v>6</v>
      </c>
      <c r="BL257" s="59"/>
      <c r="BM257" s="59"/>
      <c r="BN257" s="60" t="s">
        <v>556</v>
      </c>
      <c r="BO257" s="60">
        <v>0.3</v>
      </c>
      <c r="BP257" s="62" t="s">
        <v>480</v>
      </c>
      <c r="BQ257" s="62">
        <v>0.2</v>
      </c>
      <c r="BR257" s="64" t="s">
        <v>524</v>
      </c>
      <c r="BS257" s="64">
        <v>0.2</v>
      </c>
    </row>
    <row r="258" spans="63:71" x14ac:dyDescent="0.3">
      <c r="BL258" s="59"/>
      <c r="BM258" s="59"/>
      <c r="BN258" s="60" t="s">
        <v>480</v>
      </c>
      <c r="BO258" s="60">
        <v>0.2</v>
      </c>
      <c r="BP258" s="62" t="s">
        <v>483</v>
      </c>
      <c r="BQ258" s="62">
        <v>0.3</v>
      </c>
      <c r="BR258" s="64" t="s">
        <v>525</v>
      </c>
      <c r="BS258" s="64">
        <v>0.05</v>
      </c>
    </row>
    <row r="259" spans="63:71" x14ac:dyDescent="0.3">
      <c r="BL259" s="59"/>
      <c r="BM259" s="59"/>
      <c r="BN259" s="60" t="s">
        <v>481</v>
      </c>
      <c r="BO259" s="60">
        <v>0.25</v>
      </c>
      <c r="BP259" s="62" t="s">
        <v>485</v>
      </c>
      <c r="BQ259" s="62">
        <v>0.3</v>
      </c>
      <c r="BR259" s="64" t="s">
        <v>526</v>
      </c>
      <c r="BS259" s="64">
        <v>0.3</v>
      </c>
    </row>
    <row r="260" spans="63:71" x14ac:dyDescent="0.3">
      <c r="BL260" s="59"/>
      <c r="BM260" s="59"/>
      <c r="BN260" s="60" t="s">
        <v>482</v>
      </c>
      <c r="BO260" s="60">
        <v>0.05</v>
      </c>
      <c r="BP260" s="62" t="s">
        <v>487</v>
      </c>
      <c r="BQ260" s="62">
        <v>0.5</v>
      </c>
      <c r="BR260" s="64" t="s">
        <v>481</v>
      </c>
      <c r="BS260" s="64">
        <v>0.3</v>
      </c>
    </row>
    <row r="261" spans="63:71" x14ac:dyDescent="0.3">
      <c r="BL261" s="59"/>
      <c r="BM261" s="59"/>
      <c r="BN261" s="60" t="s">
        <v>483</v>
      </c>
      <c r="BO261" s="60">
        <v>0.3</v>
      </c>
      <c r="BP261" s="62" t="s">
        <v>489</v>
      </c>
      <c r="BQ261" s="62">
        <v>0.4</v>
      </c>
      <c r="BR261" s="64" t="s">
        <v>1320</v>
      </c>
      <c r="BS261" s="64">
        <v>0.1</v>
      </c>
    </row>
    <row r="262" spans="63:71" x14ac:dyDescent="0.3">
      <c r="BL262" s="59"/>
      <c r="BM262" s="59"/>
      <c r="BN262" s="60" t="s">
        <v>484</v>
      </c>
      <c r="BO262" s="60">
        <v>0.4</v>
      </c>
      <c r="BP262" s="62" t="s">
        <v>491</v>
      </c>
      <c r="BQ262" s="62">
        <v>0.7</v>
      </c>
      <c r="BR262" s="64" t="s">
        <v>527</v>
      </c>
      <c r="BS262" s="64">
        <v>0.15</v>
      </c>
    </row>
    <row r="263" spans="63:71" x14ac:dyDescent="0.3">
      <c r="BL263" s="59"/>
      <c r="BM263" s="59"/>
      <c r="BN263" s="60" t="s">
        <v>485</v>
      </c>
      <c r="BO263" s="60">
        <v>0.3</v>
      </c>
      <c r="BP263" s="62" t="s">
        <v>556</v>
      </c>
      <c r="BQ263" s="62">
        <v>0.3</v>
      </c>
      <c r="BR263" s="64" t="s">
        <v>528</v>
      </c>
      <c r="BS263" s="64">
        <v>0.4</v>
      </c>
    </row>
    <row r="264" spans="63:71" x14ac:dyDescent="0.3">
      <c r="BL264" s="59"/>
      <c r="BM264" s="59"/>
      <c r="BN264" s="60" t="s">
        <v>60</v>
      </c>
      <c r="BO264" s="60">
        <v>0.35</v>
      </c>
      <c r="BP264" s="62"/>
      <c r="BQ264" s="62"/>
      <c r="BR264" s="64" t="s">
        <v>60</v>
      </c>
      <c r="BS264" s="64">
        <v>0.4</v>
      </c>
    </row>
    <row r="265" spans="63:71" x14ac:dyDescent="0.3">
      <c r="BL265" s="59"/>
      <c r="BM265" s="59"/>
      <c r="BN265" s="60" t="s">
        <v>486</v>
      </c>
      <c r="BO265" s="60">
        <v>0.1</v>
      </c>
      <c r="BP265" s="62"/>
      <c r="BQ265" s="62"/>
      <c r="BR265" s="64" t="s">
        <v>529</v>
      </c>
      <c r="BS265" s="64">
        <v>0.2</v>
      </c>
    </row>
    <row r="266" spans="63:71" x14ac:dyDescent="0.3">
      <c r="BL266" s="59"/>
      <c r="BM266" s="59"/>
      <c r="BN266" s="60" t="s">
        <v>487</v>
      </c>
      <c r="BO266" s="60">
        <v>0.5</v>
      </c>
      <c r="BP266" s="62"/>
      <c r="BQ266" s="62"/>
      <c r="BR266" s="64" t="s">
        <v>530</v>
      </c>
      <c r="BS266" s="64">
        <v>0.25</v>
      </c>
    </row>
    <row r="267" spans="63:71" x14ac:dyDescent="0.3">
      <c r="BL267" s="59"/>
      <c r="BM267" s="59"/>
      <c r="BN267" s="60" t="s">
        <v>488</v>
      </c>
      <c r="BO267" s="60">
        <v>0.5</v>
      </c>
      <c r="BP267" s="62"/>
      <c r="BQ267" s="62"/>
      <c r="BR267" s="64"/>
      <c r="BS267" s="64"/>
    </row>
    <row r="268" spans="63:71" x14ac:dyDescent="0.3">
      <c r="BL268" s="59"/>
      <c r="BM268" s="59"/>
      <c r="BN268" s="60" t="s">
        <v>489</v>
      </c>
      <c r="BO268" s="60">
        <v>0.4</v>
      </c>
      <c r="BP268" s="62"/>
      <c r="BQ268" s="62"/>
      <c r="BR268" s="64"/>
      <c r="BS268" s="64"/>
    </row>
    <row r="269" spans="63:71" x14ac:dyDescent="0.3">
      <c r="BL269" s="59"/>
      <c r="BM269" s="59"/>
      <c r="BN269" s="60" t="s">
        <v>490</v>
      </c>
      <c r="BO269" s="60">
        <v>0.45</v>
      </c>
      <c r="BP269" s="62"/>
      <c r="BQ269" s="62"/>
      <c r="BR269" s="64"/>
      <c r="BS269" s="64"/>
    </row>
    <row r="270" spans="63:71" x14ac:dyDescent="0.3">
      <c r="BL270" s="59"/>
      <c r="BM270" s="59"/>
      <c r="BN270" s="60" t="s">
        <v>1319</v>
      </c>
      <c r="BO270" s="60">
        <v>0.15</v>
      </c>
      <c r="BP270" s="62"/>
      <c r="BQ270" s="62"/>
      <c r="BR270" s="64"/>
      <c r="BS270" s="64"/>
    </row>
    <row r="271" spans="63:71" x14ac:dyDescent="0.3">
      <c r="BL271" s="59"/>
      <c r="BM271" s="59"/>
      <c r="BN271" s="60" t="s">
        <v>491</v>
      </c>
      <c r="BO271" s="60">
        <v>0.7</v>
      </c>
      <c r="BP271" s="62"/>
      <c r="BQ271" s="62"/>
      <c r="BR271" s="64"/>
      <c r="BS271" s="64"/>
    </row>
    <row r="272" spans="63:71" x14ac:dyDescent="0.3">
      <c r="BL272" s="59"/>
      <c r="BM272" s="59"/>
      <c r="BN272" s="60" t="s">
        <v>492</v>
      </c>
      <c r="BO272" s="60">
        <v>0.5</v>
      </c>
      <c r="BP272" s="62"/>
      <c r="BQ272" s="62"/>
      <c r="BR272" s="64"/>
      <c r="BS272" s="64"/>
    </row>
    <row r="273" spans="63:71" x14ac:dyDescent="0.3">
      <c r="BL273" s="59"/>
      <c r="BM273" s="59"/>
      <c r="BN273" s="60" t="s">
        <v>493</v>
      </c>
      <c r="BO273" s="60">
        <v>0.2</v>
      </c>
      <c r="BP273" s="62"/>
      <c r="BQ273" s="62"/>
      <c r="BR273" s="64"/>
      <c r="BS273" s="64"/>
    </row>
    <row r="274" spans="63:71" x14ac:dyDescent="0.3">
      <c r="BL274" s="59"/>
      <c r="BM274" s="59"/>
      <c r="BN274" s="60" t="s">
        <v>1411</v>
      </c>
      <c r="BO274" s="60">
        <v>0.9</v>
      </c>
      <c r="BP274" s="62"/>
      <c r="BQ274" s="62"/>
      <c r="BR274" s="64"/>
      <c r="BS274" s="64"/>
    </row>
    <row r="275" spans="63:71" x14ac:dyDescent="0.3">
      <c r="BL275" s="59"/>
      <c r="BM275" s="59"/>
      <c r="BN275" s="60" t="s">
        <v>1413</v>
      </c>
      <c r="BO275" s="60">
        <v>0.5</v>
      </c>
      <c r="BP275" s="62"/>
      <c r="BQ275" s="62"/>
      <c r="BR275" s="64"/>
      <c r="BS275" s="64"/>
    </row>
    <row r="276" spans="63:71" x14ac:dyDescent="0.3">
      <c r="BL276" s="59"/>
      <c r="BM276" s="59"/>
      <c r="BN276" s="60"/>
      <c r="BO276" s="60"/>
      <c r="BP276" s="62"/>
      <c r="BQ276" s="62"/>
      <c r="BR276" s="64"/>
      <c r="BS276" s="64"/>
    </row>
    <row r="277" spans="63:71" x14ac:dyDescent="0.3">
      <c r="BK277" s="8">
        <v>7</v>
      </c>
      <c r="BL277" s="59" t="s">
        <v>435</v>
      </c>
      <c r="BM277" s="59">
        <v>0.1</v>
      </c>
      <c r="BN277" s="60"/>
      <c r="BO277" s="60"/>
      <c r="BP277" s="62" t="s">
        <v>435</v>
      </c>
      <c r="BQ277" s="62">
        <v>0.1</v>
      </c>
      <c r="BR277" s="64"/>
      <c r="BS277" s="64"/>
    </row>
    <row r="278" spans="63:71" x14ac:dyDescent="0.3">
      <c r="BL278" s="59" t="s">
        <v>56</v>
      </c>
      <c r="BM278" s="59">
        <v>0.15</v>
      </c>
      <c r="BN278" s="60"/>
      <c r="BO278" s="60"/>
      <c r="BP278" s="62" t="s">
        <v>56</v>
      </c>
      <c r="BQ278" s="62">
        <v>0.15</v>
      </c>
      <c r="BR278" s="64"/>
      <c r="BS278" s="64"/>
    </row>
    <row r="279" spans="63:71" x14ac:dyDescent="0.3">
      <c r="BL279" s="59" t="s">
        <v>436</v>
      </c>
      <c r="BM279" s="59">
        <v>0.2</v>
      </c>
      <c r="BN279" s="60"/>
      <c r="BO279" s="60"/>
      <c r="BP279" s="62" t="s">
        <v>436</v>
      </c>
      <c r="BQ279" s="62">
        <v>0.2</v>
      </c>
      <c r="BR279" s="64"/>
      <c r="BS279" s="64"/>
    </row>
    <row r="280" spans="63:71" x14ac:dyDescent="0.3">
      <c r="BL280" s="59" t="s">
        <v>57</v>
      </c>
      <c r="BM280" s="59">
        <v>0.25</v>
      </c>
      <c r="BN280" s="60"/>
      <c r="BO280" s="60"/>
      <c r="BP280" s="62" t="s">
        <v>57</v>
      </c>
      <c r="BQ280" s="62">
        <v>0.25</v>
      </c>
      <c r="BR280" s="64"/>
      <c r="BS280" s="64"/>
    </row>
    <row r="281" spans="63:71" x14ac:dyDescent="0.3">
      <c r="BL281" s="59" t="s">
        <v>437</v>
      </c>
      <c r="BM281" s="59">
        <v>0.1</v>
      </c>
      <c r="BN281" s="60"/>
      <c r="BO281" s="60"/>
      <c r="BP281" s="62" t="s">
        <v>437</v>
      </c>
      <c r="BQ281" s="62">
        <v>0.1</v>
      </c>
      <c r="BR281" s="64"/>
      <c r="BS281" s="64"/>
    </row>
    <row r="282" spans="63:71" x14ac:dyDescent="0.3">
      <c r="BL282" s="59" t="s">
        <v>438</v>
      </c>
      <c r="BM282" s="59">
        <v>0.2</v>
      </c>
      <c r="BN282" s="60"/>
      <c r="BO282" s="60"/>
      <c r="BP282" s="62" t="s">
        <v>438</v>
      </c>
      <c r="BQ282" s="62">
        <v>0.2</v>
      </c>
      <c r="BR282" s="64"/>
      <c r="BS282" s="64"/>
    </row>
    <row r="283" spans="63:71" x14ac:dyDescent="0.3">
      <c r="BL283" s="59" t="s">
        <v>439</v>
      </c>
      <c r="BM283" s="59">
        <v>0.3</v>
      </c>
      <c r="BN283" s="60"/>
      <c r="BO283" s="60"/>
      <c r="BP283" s="62" t="s">
        <v>439</v>
      </c>
      <c r="BQ283" s="62">
        <v>0.3</v>
      </c>
      <c r="BR283" s="64"/>
      <c r="BS283" s="64"/>
    </row>
    <row r="284" spans="63:71" x14ac:dyDescent="0.3">
      <c r="BL284" s="59" t="s">
        <v>440</v>
      </c>
      <c r="BM284" s="59">
        <v>0.4</v>
      </c>
      <c r="BN284" s="60"/>
      <c r="BO284" s="60"/>
      <c r="BP284" s="62" t="s">
        <v>440</v>
      </c>
      <c r="BQ284" s="62">
        <v>0.4</v>
      </c>
      <c r="BR284" s="64"/>
      <c r="BS284" s="64"/>
    </row>
    <row r="285" spans="63:71" x14ac:dyDescent="0.3">
      <c r="BL285" s="59" t="s">
        <v>441</v>
      </c>
      <c r="BM285" s="59">
        <v>0.05</v>
      </c>
      <c r="BN285" s="60"/>
      <c r="BO285" s="60"/>
      <c r="BP285" s="62" t="s">
        <v>441</v>
      </c>
      <c r="BQ285" s="62">
        <v>0.05</v>
      </c>
      <c r="BR285" s="64"/>
      <c r="BS285" s="64"/>
    </row>
    <row r="286" spans="63:71" x14ac:dyDescent="0.3">
      <c r="BL286" s="59" t="s">
        <v>442</v>
      </c>
      <c r="BM286" s="59">
        <v>0.2</v>
      </c>
      <c r="BN286" s="60"/>
      <c r="BO286" s="60"/>
      <c r="BP286" s="62" t="s">
        <v>443</v>
      </c>
      <c r="BQ286" s="62">
        <v>0.3</v>
      </c>
      <c r="BR286" s="64"/>
      <c r="BS286" s="64"/>
    </row>
    <row r="287" spans="63:71" x14ac:dyDescent="0.3">
      <c r="BL287" s="59" t="s">
        <v>443</v>
      </c>
      <c r="BM287" s="59">
        <v>0.3</v>
      </c>
      <c r="BN287" s="60"/>
      <c r="BO287" s="60"/>
      <c r="BP287" s="62" t="s">
        <v>444</v>
      </c>
      <c r="BQ287" s="62">
        <v>0.5</v>
      </c>
      <c r="BR287" s="64"/>
      <c r="BS287" s="64"/>
    </row>
    <row r="288" spans="63:71" x14ac:dyDescent="0.3">
      <c r="BL288" s="59" t="s">
        <v>444</v>
      </c>
      <c r="BM288" s="59">
        <v>0.5</v>
      </c>
      <c r="BN288" s="60"/>
      <c r="BO288" s="60"/>
      <c r="BP288" s="62" t="s">
        <v>445</v>
      </c>
      <c r="BQ288" s="62">
        <v>0.6</v>
      </c>
      <c r="BR288" s="64"/>
      <c r="BS288" s="64"/>
    </row>
    <row r="289" spans="64:71" x14ac:dyDescent="0.3">
      <c r="BL289" s="59" t="s">
        <v>445</v>
      </c>
      <c r="BM289" s="59">
        <v>0.6</v>
      </c>
      <c r="BN289" s="60"/>
      <c r="BO289" s="60"/>
      <c r="BP289" s="62" t="s">
        <v>449</v>
      </c>
      <c r="BQ289" s="62">
        <v>0.4</v>
      </c>
      <c r="BR289" s="64"/>
      <c r="BS289" s="64"/>
    </row>
    <row r="290" spans="64:71" x14ac:dyDescent="0.3">
      <c r="BL290" s="59" t="s">
        <v>446</v>
      </c>
      <c r="BM290" s="59">
        <v>0.8</v>
      </c>
      <c r="BN290" s="60"/>
      <c r="BO290" s="60"/>
      <c r="BP290" s="62" t="s">
        <v>450</v>
      </c>
      <c r="BQ290" s="62">
        <v>0.6</v>
      </c>
      <c r="BR290" s="64"/>
      <c r="BS290" s="64"/>
    </row>
    <row r="291" spans="64:71" x14ac:dyDescent="0.3">
      <c r="BL291" s="59" t="s">
        <v>447</v>
      </c>
      <c r="BM291" s="59">
        <v>1.4</v>
      </c>
      <c r="BN291" s="60"/>
      <c r="BO291" s="60"/>
      <c r="BP291" s="62" t="s">
        <v>451</v>
      </c>
      <c r="BQ291" s="62">
        <v>0.7</v>
      </c>
      <c r="BR291" s="64"/>
      <c r="BS291" s="64"/>
    </row>
    <row r="292" spans="64:71" x14ac:dyDescent="0.3">
      <c r="BL292" s="59" t="s">
        <v>448</v>
      </c>
      <c r="BM292" s="59">
        <v>0.1</v>
      </c>
      <c r="BN292" s="60"/>
      <c r="BO292" s="60"/>
      <c r="BP292" s="62" t="s">
        <v>453</v>
      </c>
      <c r="BQ292" s="62">
        <v>2.5000000000000001E-2</v>
      </c>
      <c r="BR292" s="64"/>
      <c r="BS292" s="64"/>
    </row>
    <row r="293" spans="64:71" x14ac:dyDescent="0.3">
      <c r="BL293" s="59" t="s">
        <v>449</v>
      </c>
      <c r="BM293" s="59">
        <v>0.4</v>
      </c>
      <c r="BN293" s="60"/>
      <c r="BO293" s="60"/>
      <c r="BP293" s="62" t="s">
        <v>454</v>
      </c>
      <c r="BQ293" s="62">
        <v>0.125</v>
      </c>
      <c r="BR293" s="64"/>
      <c r="BS293" s="64"/>
    </row>
    <row r="294" spans="64:71" x14ac:dyDescent="0.3">
      <c r="BL294" s="59" t="s">
        <v>450</v>
      </c>
      <c r="BM294" s="59">
        <v>0.6</v>
      </c>
      <c r="BN294" s="60"/>
      <c r="BO294" s="60"/>
      <c r="BP294" s="62" t="s">
        <v>1313</v>
      </c>
      <c r="BQ294" s="62">
        <v>0.17499999999999999</v>
      </c>
      <c r="BR294" s="64"/>
      <c r="BS294" s="64"/>
    </row>
    <row r="295" spans="64:71" x14ac:dyDescent="0.3">
      <c r="BL295" s="59" t="s">
        <v>451</v>
      </c>
      <c r="BM295" s="59">
        <v>0.7</v>
      </c>
      <c r="BN295" s="60"/>
      <c r="BO295" s="60"/>
      <c r="BP295" s="62" t="s">
        <v>455</v>
      </c>
      <c r="BQ295" s="62">
        <v>0.22500000000000001</v>
      </c>
      <c r="BR295" s="64"/>
      <c r="BS295" s="64"/>
    </row>
    <row r="296" spans="64:71" x14ac:dyDescent="0.3">
      <c r="BL296" s="59" t="s">
        <v>452</v>
      </c>
      <c r="BM296" s="59">
        <v>0.1</v>
      </c>
      <c r="BN296" s="60"/>
      <c r="BO296" s="60"/>
      <c r="BP296" s="62" t="s">
        <v>457</v>
      </c>
      <c r="BQ296" s="62">
        <v>0.4</v>
      </c>
      <c r="BR296" s="64"/>
      <c r="BS296" s="64"/>
    </row>
    <row r="297" spans="64:71" x14ac:dyDescent="0.3">
      <c r="BL297" s="59" t="s">
        <v>453</v>
      </c>
      <c r="BM297" s="59">
        <v>2.5000000000000001E-2</v>
      </c>
      <c r="BN297" s="60"/>
      <c r="BO297" s="60"/>
      <c r="BP297" s="62" t="s">
        <v>458</v>
      </c>
      <c r="BQ297" s="62">
        <v>0.5</v>
      </c>
      <c r="BR297" s="64"/>
      <c r="BS297" s="64"/>
    </row>
    <row r="298" spans="64:71" x14ac:dyDescent="0.3">
      <c r="BL298" s="59" t="s">
        <v>454</v>
      </c>
      <c r="BM298" s="59">
        <v>0.125</v>
      </c>
      <c r="BN298" s="60"/>
      <c r="BO298" s="60"/>
      <c r="BP298" s="62" t="s">
        <v>459</v>
      </c>
      <c r="BQ298" s="62">
        <v>0.6</v>
      </c>
      <c r="BR298" s="64"/>
      <c r="BS298" s="64"/>
    </row>
    <row r="299" spans="64:71" x14ac:dyDescent="0.3">
      <c r="BL299" s="59" t="s">
        <v>1313</v>
      </c>
      <c r="BM299" s="59">
        <v>0.17499999999999999</v>
      </c>
      <c r="BN299" s="60"/>
      <c r="BO299" s="60"/>
      <c r="BP299" s="62" t="s">
        <v>460</v>
      </c>
      <c r="BQ299" s="62">
        <v>0.7</v>
      </c>
      <c r="BR299" s="64"/>
      <c r="BS299" s="64"/>
    </row>
    <row r="300" spans="64:71" x14ac:dyDescent="0.3">
      <c r="BL300" s="59" t="s">
        <v>455</v>
      </c>
      <c r="BM300" s="59">
        <v>0.22500000000000001</v>
      </c>
      <c r="BN300" s="60"/>
      <c r="BO300" s="60"/>
      <c r="BP300" s="62" t="s">
        <v>1314</v>
      </c>
      <c r="BQ300" s="62">
        <v>0.6</v>
      </c>
      <c r="BR300" s="64"/>
      <c r="BS300" s="64"/>
    </row>
    <row r="301" spans="64:71" x14ac:dyDescent="0.3">
      <c r="BL301" s="59" t="s">
        <v>456</v>
      </c>
      <c r="BM301" s="59">
        <v>0.3</v>
      </c>
      <c r="BN301" s="60"/>
      <c r="BO301" s="60"/>
      <c r="BP301" s="62" t="s">
        <v>1315</v>
      </c>
      <c r="BQ301" s="62">
        <v>0.7</v>
      </c>
      <c r="BR301" s="64"/>
      <c r="BS301" s="64"/>
    </row>
    <row r="302" spans="64:71" x14ac:dyDescent="0.3">
      <c r="BL302" s="59" t="s">
        <v>457</v>
      </c>
      <c r="BM302" s="59">
        <v>0.4</v>
      </c>
      <c r="BN302" s="60"/>
      <c r="BO302" s="60"/>
      <c r="BP302" s="62" t="s">
        <v>462</v>
      </c>
      <c r="BQ302" s="62">
        <v>0.9</v>
      </c>
      <c r="BR302" s="64"/>
      <c r="BS302" s="64"/>
    </row>
    <row r="303" spans="64:71" x14ac:dyDescent="0.3">
      <c r="BL303" s="59" t="s">
        <v>458</v>
      </c>
      <c r="BM303" s="59">
        <v>0.5</v>
      </c>
      <c r="BN303" s="60"/>
      <c r="BO303" s="60"/>
      <c r="BP303" s="62" t="s">
        <v>463</v>
      </c>
      <c r="BQ303" s="62">
        <v>1</v>
      </c>
      <c r="BR303" s="64"/>
      <c r="BS303" s="64"/>
    </row>
    <row r="304" spans="64:71" x14ac:dyDescent="0.3">
      <c r="BL304" s="59" t="s">
        <v>459</v>
      </c>
      <c r="BM304" s="59">
        <v>0.6</v>
      </c>
      <c r="BN304" s="60"/>
      <c r="BO304" s="60"/>
      <c r="BP304" s="62" t="s">
        <v>448</v>
      </c>
      <c r="BQ304" s="62">
        <v>0.1</v>
      </c>
      <c r="BR304" s="64"/>
      <c r="BS304" s="64"/>
    </row>
    <row r="305" spans="63:71" x14ac:dyDescent="0.3">
      <c r="BL305" s="59" t="s">
        <v>460</v>
      </c>
      <c r="BM305" s="59">
        <v>0.7</v>
      </c>
      <c r="BN305" s="60"/>
      <c r="BO305" s="60"/>
      <c r="BP305" s="62" t="s">
        <v>452</v>
      </c>
      <c r="BQ305" s="62">
        <v>0.1</v>
      </c>
      <c r="BR305" s="64"/>
      <c r="BS305" s="64"/>
    </row>
    <row r="306" spans="63:71" x14ac:dyDescent="0.3">
      <c r="BL306" s="59" t="s">
        <v>461</v>
      </c>
      <c r="BM306" s="59">
        <v>0.8</v>
      </c>
      <c r="BN306" s="60"/>
      <c r="BO306" s="60"/>
      <c r="BP306" s="62"/>
      <c r="BQ306" s="62"/>
      <c r="BR306" s="64"/>
      <c r="BS306" s="64"/>
    </row>
    <row r="307" spans="63:71" x14ac:dyDescent="0.3">
      <c r="BL307" s="59" t="s">
        <v>1314</v>
      </c>
      <c r="BM307" s="59">
        <v>0.6</v>
      </c>
      <c r="BN307" s="60"/>
      <c r="BO307" s="60"/>
      <c r="BP307" s="62"/>
      <c r="BQ307" s="62"/>
      <c r="BR307" s="64"/>
      <c r="BS307" s="64"/>
    </row>
    <row r="308" spans="63:71" x14ac:dyDescent="0.3">
      <c r="BL308" s="59" t="s">
        <v>1315</v>
      </c>
      <c r="BM308" s="59">
        <v>0.7</v>
      </c>
      <c r="BN308" s="60"/>
      <c r="BO308" s="60"/>
      <c r="BP308" s="62"/>
      <c r="BQ308" s="62"/>
      <c r="BR308" s="64"/>
      <c r="BS308" s="64"/>
    </row>
    <row r="309" spans="63:71" x14ac:dyDescent="0.3">
      <c r="BL309" s="59" t="s">
        <v>462</v>
      </c>
      <c r="BM309" s="59">
        <v>0.9</v>
      </c>
      <c r="BN309" s="60"/>
      <c r="BO309" s="60"/>
      <c r="BP309" s="62"/>
      <c r="BQ309" s="62"/>
      <c r="BR309" s="64"/>
      <c r="BS309" s="64"/>
    </row>
    <row r="310" spans="63:71" x14ac:dyDescent="0.3">
      <c r="BL310" s="59" t="s">
        <v>463</v>
      </c>
      <c r="BM310" s="59">
        <v>1</v>
      </c>
      <c r="BN310" s="60"/>
      <c r="BO310" s="60"/>
      <c r="BP310" s="62"/>
      <c r="BQ310" s="62"/>
      <c r="BR310" s="64"/>
      <c r="BS310" s="64"/>
    </row>
    <row r="311" spans="63:71" x14ac:dyDescent="0.3">
      <c r="BL311" s="59" t="s">
        <v>1304</v>
      </c>
      <c r="BM311" s="59">
        <v>0.35</v>
      </c>
      <c r="BN311" s="60"/>
      <c r="BO311" s="60"/>
      <c r="BP311" s="62"/>
      <c r="BQ311" s="62"/>
      <c r="BR311" s="64"/>
      <c r="BS311" s="64"/>
    </row>
    <row r="312" spans="63:71" x14ac:dyDescent="0.3">
      <c r="BL312" s="59" t="s">
        <v>1403</v>
      </c>
      <c r="BM312" s="59">
        <v>0.8</v>
      </c>
      <c r="BN312" s="60"/>
      <c r="BO312" s="60"/>
      <c r="BP312" s="62"/>
      <c r="BQ312" s="62"/>
      <c r="BR312" s="64"/>
      <c r="BS312" s="64"/>
    </row>
    <row r="313" spans="63:71" x14ac:dyDescent="0.3">
      <c r="BL313" s="59" t="s">
        <v>1409</v>
      </c>
      <c r="BM313" s="59">
        <v>0.9</v>
      </c>
      <c r="BN313" s="60"/>
      <c r="BO313" s="60"/>
      <c r="BP313" s="62"/>
      <c r="BQ313" s="62"/>
      <c r="BR313" s="64"/>
      <c r="BS313" s="64"/>
    </row>
    <row r="314" spans="63:71" x14ac:dyDescent="0.3">
      <c r="BL314" s="59"/>
      <c r="BM314" s="59"/>
      <c r="BN314" s="60"/>
      <c r="BO314" s="60"/>
      <c r="BP314" s="62"/>
      <c r="BQ314" s="62"/>
      <c r="BR314" s="64"/>
      <c r="BS314" s="64"/>
    </row>
    <row r="315" spans="63:71" x14ac:dyDescent="0.3">
      <c r="BL315" s="59"/>
      <c r="BM315" s="59"/>
      <c r="BN315" s="60"/>
      <c r="BO315" s="60"/>
      <c r="BP315" s="62"/>
      <c r="BQ315" s="62"/>
      <c r="BR315" s="64"/>
      <c r="BS315" s="64"/>
    </row>
    <row r="316" spans="63:71" x14ac:dyDescent="0.3">
      <c r="BL316" s="59"/>
      <c r="BM316" s="59"/>
      <c r="BN316" s="60"/>
      <c r="BO316" s="60"/>
      <c r="BP316" s="62"/>
      <c r="BQ316" s="62"/>
      <c r="BR316" s="64"/>
      <c r="BS316" s="64"/>
    </row>
    <row r="317" spans="63:71" x14ac:dyDescent="0.3">
      <c r="BK317" s="8">
        <v>8</v>
      </c>
      <c r="BL317" s="59" t="s">
        <v>464</v>
      </c>
      <c r="BM317" s="59">
        <v>0.2</v>
      </c>
      <c r="BN317" s="60" t="s">
        <v>494</v>
      </c>
      <c r="BO317" s="60">
        <v>0.2</v>
      </c>
      <c r="BP317" s="62" t="s">
        <v>509</v>
      </c>
      <c r="BQ317" s="62">
        <v>0.3</v>
      </c>
      <c r="BR317" s="64" t="s">
        <v>531</v>
      </c>
      <c r="BS317" s="64">
        <v>0.2</v>
      </c>
    </row>
    <row r="318" spans="63:71" x14ac:dyDescent="0.3">
      <c r="BL318" s="59" t="s">
        <v>465</v>
      </c>
      <c r="BM318" s="59">
        <v>0.5</v>
      </c>
      <c r="BN318" s="60" t="s">
        <v>495</v>
      </c>
      <c r="BO318" s="60">
        <v>0.3</v>
      </c>
      <c r="BP318" s="62" t="s">
        <v>510</v>
      </c>
      <c r="BQ318" s="62">
        <v>0.3</v>
      </c>
      <c r="BR318" s="64" t="s">
        <v>532</v>
      </c>
      <c r="BS318" s="64">
        <v>0.1</v>
      </c>
    </row>
    <row r="319" spans="63:71" x14ac:dyDescent="0.3">
      <c r="BL319" s="59" t="s">
        <v>466</v>
      </c>
      <c r="BM319" s="59">
        <v>0.4</v>
      </c>
      <c r="BN319" s="60" t="s">
        <v>496</v>
      </c>
      <c r="BO319" s="60">
        <v>0.1</v>
      </c>
      <c r="BP319" s="62" t="s">
        <v>511</v>
      </c>
      <c r="BQ319" s="62">
        <v>0.2</v>
      </c>
      <c r="BR319" s="64" t="s">
        <v>533</v>
      </c>
      <c r="BS319" s="64">
        <v>0.05</v>
      </c>
    </row>
    <row r="320" spans="63:71" x14ac:dyDescent="0.3">
      <c r="BL320" s="59" t="s">
        <v>467</v>
      </c>
      <c r="BM320" s="59">
        <v>0.2</v>
      </c>
      <c r="BN320" s="60" t="s">
        <v>497</v>
      </c>
      <c r="BO320" s="60">
        <v>0.2</v>
      </c>
      <c r="BP320" s="62" t="s">
        <v>512</v>
      </c>
      <c r="BQ320" s="62">
        <v>0.1</v>
      </c>
      <c r="BR320" s="64" t="s">
        <v>534</v>
      </c>
      <c r="BS320" s="64">
        <v>0.1</v>
      </c>
    </row>
    <row r="321" spans="64:71" x14ac:dyDescent="0.3">
      <c r="BL321" s="59" t="s">
        <v>468</v>
      </c>
      <c r="BM321" s="59">
        <v>0.4</v>
      </c>
      <c r="BN321" s="60" t="s">
        <v>498</v>
      </c>
      <c r="BO321" s="60">
        <v>0.1</v>
      </c>
      <c r="BP321" s="62" t="s">
        <v>513</v>
      </c>
      <c r="BQ321" s="62">
        <v>0.3</v>
      </c>
      <c r="BR321" s="64" t="s">
        <v>535</v>
      </c>
      <c r="BS321" s="64">
        <v>0.2</v>
      </c>
    </row>
    <row r="322" spans="64:71" x14ac:dyDescent="0.3">
      <c r="BL322" s="59" t="s">
        <v>469</v>
      </c>
      <c r="BM322" s="59">
        <v>2.5000000000000001E-2</v>
      </c>
      <c r="BN322" s="60" t="s">
        <v>499</v>
      </c>
      <c r="BO322" s="60">
        <v>0.2</v>
      </c>
      <c r="BP322" s="62" t="s">
        <v>514</v>
      </c>
      <c r="BQ322" s="62">
        <v>0.2</v>
      </c>
      <c r="BR322" s="64" t="s">
        <v>536</v>
      </c>
      <c r="BS322" s="64">
        <v>0.2</v>
      </c>
    </row>
    <row r="323" spans="64:71" x14ac:dyDescent="0.3">
      <c r="BL323" s="59" t="s">
        <v>470</v>
      </c>
      <c r="BM323" s="59">
        <v>0.3</v>
      </c>
      <c r="BN323" s="60" t="s">
        <v>500</v>
      </c>
      <c r="BO323" s="60">
        <v>0.05</v>
      </c>
      <c r="BP323" s="62" t="s">
        <v>515</v>
      </c>
      <c r="BQ323" s="62">
        <v>0.2</v>
      </c>
      <c r="BR323" s="64" t="s">
        <v>537</v>
      </c>
      <c r="BS323" s="64">
        <v>0.2</v>
      </c>
    </row>
    <row r="324" spans="64:71" x14ac:dyDescent="0.3">
      <c r="BL324" s="59" t="s">
        <v>471</v>
      </c>
      <c r="BM324" s="59">
        <v>0.1</v>
      </c>
      <c r="BN324" s="60" t="s">
        <v>501</v>
      </c>
      <c r="BO324" s="60">
        <v>0.2</v>
      </c>
      <c r="BP324" s="62" t="s">
        <v>516</v>
      </c>
      <c r="BQ324" s="62">
        <v>0.1</v>
      </c>
      <c r="BR324" s="64" t="s">
        <v>538</v>
      </c>
      <c r="BS324" s="64">
        <v>0.2</v>
      </c>
    </row>
    <row r="325" spans="64:71" x14ac:dyDescent="0.3">
      <c r="BL325" s="59" t="s">
        <v>472</v>
      </c>
      <c r="BM325" s="59">
        <v>2.5000000000000001E-2</v>
      </c>
      <c r="BN325" s="60" t="s">
        <v>502</v>
      </c>
      <c r="BO325" s="60">
        <v>0.05</v>
      </c>
      <c r="BP325" s="62" t="s">
        <v>517</v>
      </c>
      <c r="BQ325" s="62">
        <v>0.1</v>
      </c>
      <c r="BR325" s="64" t="s">
        <v>539</v>
      </c>
      <c r="BS325" s="64">
        <v>0.05</v>
      </c>
    </row>
    <row r="326" spans="64:71" x14ac:dyDescent="0.3">
      <c r="BL326" s="59" t="s">
        <v>473</v>
      </c>
      <c r="BM326" s="59">
        <v>0.15</v>
      </c>
      <c r="BN326" s="60" t="s">
        <v>503</v>
      </c>
      <c r="BO326" s="60">
        <v>0.1</v>
      </c>
      <c r="BP326" s="62" t="s">
        <v>518</v>
      </c>
      <c r="BQ326" s="62">
        <v>0.05</v>
      </c>
      <c r="BR326" s="64" t="s">
        <v>540</v>
      </c>
      <c r="BS326" s="64">
        <v>0.2</v>
      </c>
    </row>
    <row r="327" spans="64:71" x14ac:dyDescent="0.3">
      <c r="BL327" s="59" t="s">
        <v>474</v>
      </c>
      <c r="BM327" s="59">
        <v>0.05</v>
      </c>
      <c r="BN327" s="60" t="s">
        <v>504</v>
      </c>
      <c r="BO327" s="60">
        <v>0.1</v>
      </c>
      <c r="BP327" s="62" t="s">
        <v>519</v>
      </c>
      <c r="BQ327" s="62">
        <v>0.1</v>
      </c>
      <c r="BR327" s="64" t="s">
        <v>541</v>
      </c>
      <c r="BS327" s="64">
        <v>0.3</v>
      </c>
    </row>
    <row r="328" spans="64:71" x14ac:dyDescent="0.3">
      <c r="BL328" s="59" t="s">
        <v>475</v>
      </c>
      <c r="BM328" s="59">
        <v>0.1</v>
      </c>
      <c r="BN328" s="60" t="s">
        <v>505</v>
      </c>
      <c r="BO328" s="60">
        <v>0.2</v>
      </c>
      <c r="BP328" s="62" t="s">
        <v>520</v>
      </c>
      <c r="BQ328" s="62">
        <v>0.05</v>
      </c>
      <c r="BR328" s="64" t="s">
        <v>542</v>
      </c>
      <c r="BS328" s="64">
        <v>0.3</v>
      </c>
    </row>
    <row r="329" spans="64:71" x14ac:dyDescent="0.3">
      <c r="BL329" s="59" t="s">
        <v>476</v>
      </c>
      <c r="BM329" s="59">
        <v>0.2</v>
      </c>
      <c r="BN329" s="60" t="s">
        <v>506</v>
      </c>
      <c r="BO329" s="60">
        <v>0.1</v>
      </c>
      <c r="BP329" s="62" t="s">
        <v>521</v>
      </c>
      <c r="BQ329" s="62">
        <v>0.3</v>
      </c>
      <c r="BR329" s="64" t="s">
        <v>543</v>
      </c>
      <c r="BS329" s="64">
        <v>0.3</v>
      </c>
    </row>
    <row r="330" spans="64:71" x14ac:dyDescent="0.3">
      <c r="BL330" s="59" t="s">
        <v>477</v>
      </c>
      <c r="BM330" s="59">
        <v>0.2</v>
      </c>
      <c r="BN330" s="60" t="s">
        <v>507</v>
      </c>
      <c r="BO330" s="60">
        <v>0.2</v>
      </c>
      <c r="BP330" s="62" t="s">
        <v>522</v>
      </c>
      <c r="BQ330" s="62">
        <v>0.05</v>
      </c>
      <c r="BR330" s="64" t="s">
        <v>544</v>
      </c>
      <c r="BS330" s="64">
        <v>0.2</v>
      </c>
    </row>
    <row r="331" spans="64:71" x14ac:dyDescent="0.3">
      <c r="BL331" s="59" t="s">
        <v>478</v>
      </c>
      <c r="BM331" s="59">
        <v>0.1</v>
      </c>
      <c r="BN331" s="60" t="s">
        <v>508</v>
      </c>
      <c r="BO331" s="60">
        <v>0.05</v>
      </c>
      <c r="BP331" s="62" t="s">
        <v>523</v>
      </c>
      <c r="BQ331" s="62">
        <v>0.1</v>
      </c>
      <c r="BR331" s="64" t="s">
        <v>545</v>
      </c>
      <c r="BS331" s="64">
        <v>0.2</v>
      </c>
    </row>
    <row r="332" spans="64:71" x14ac:dyDescent="0.3">
      <c r="BL332" s="59" t="s">
        <v>479</v>
      </c>
      <c r="BM332" s="59">
        <v>0.05</v>
      </c>
      <c r="BN332" s="60"/>
      <c r="BO332" s="60"/>
      <c r="BP332" s="62" t="s">
        <v>1297</v>
      </c>
      <c r="BQ332" s="62">
        <v>0.4</v>
      </c>
      <c r="BR332" s="64" t="s">
        <v>546</v>
      </c>
      <c r="BS332" s="64">
        <v>0.1</v>
      </c>
    </row>
    <row r="333" spans="64:71" x14ac:dyDescent="0.3">
      <c r="BL333" s="59"/>
      <c r="BM333" s="59"/>
      <c r="BN333" s="60"/>
      <c r="BO333" s="60"/>
      <c r="BP333" s="62" t="s">
        <v>1303</v>
      </c>
      <c r="BQ333" s="62">
        <v>0.05</v>
      </c>
      <c r="BR333" s="64" t="s">
        <v>547</v>
      </c>
      <c r="BS333" s="64">
        <v>0.1</v>
      </c>
    </row>
    <row r="334" spans="64:71" x14ac:dyDescent="0.3">
      <c r="BL334" s="59"/>
      <c r="BM334" s="59"/>
      <c r="BN334" s="60"/>
      <c r="BO334" s="60"/>
      <c r="BP334" s="62" t="s">
        <v>1399</v>
      </c>
      <c r="BQ334" s="62">
        <v>0.25</v>
      </c>
      <c r="BR334" s="64" t="s">
        <v>548</v>
      </c>
      <c r="BS334" s="64">
        <v>0.1</v>
      </c>
    </row>
    <row r="335" spans="64:71" x14ac:dyDescent="0.3">
      <c r="BL335" s="59"/>
      <c r="BM335" s="59"/>
      <c r="BN335" s="60"/>
      <c r="BO335" s="60"/>
      <c r="BP335" s="62" t="s">
        <v>1400</v>
      </c>
      <c r="BQ335" s="62">
        <v>0.6</v>
      </c>
      <c r="BR335" s="64" t="s">
        <v>549</v>
      </c>
      <c r="BS335" s="64">
        <v>0.1</v>
      </c>
    </row>
    <row r="336" spans="64:71" x14ac:dyDescent="0.3">
      <c r="BL336" s="59"/>
      <c r="BM336" s="59"/>
      <c r="BN336" s="60"/>
      <c r="BO336" s="60"/>
      <c r="BP336" s="62" t="s">
        <v>1401</v>
      </c>
      <c r="BQ336" s="62">
        <v>0.5</v>
      </c>
      <c r="BR336" s="64" t="s">
        <v>550</v>
      </c>
      <c r="BS336" s="64">
        <v>0.05</v>
      </c>
    </row>
    <row r="337" spans="64:71" x14ac:dyDescent="0.3">
      <c r="BL337" s="59"/>
      <c r="BM337" s="59"/>
      <c r="BN337" s="60"/>
      <c r="BO337" s="60"/>
      <c r="BP337" s="62" t="s">
        <v>1402</v>
      </c>
      <c r="BQ337" s="62">
        <v>0.7</v>
      </c>
      <c r="BR337" s="64" t="s">
        <v>551</v>
      </c>
      <c r="BS337" s="64">
        <v>0.05</v>
      </c>
    </row>
    <row r="338" spans="64:71" x14ac:dyDescent="0.3">
      <c r="BL338" s="59"/>
      <c r="BM338" s="59"/>
      <c r="BN338" s="60"/>
      <c r="BO338" s="60"/>
      <c r="BP338" s="62"/>
      <c r="BQ338" s="62"/>
      <c r="BR338" s="64" t="s">
        <v>552</v>
      </c>
      <c r="BS338" s="64">
        <v>0.1</v>
      </c>
    </row>
    <row r="339" spans="64:71" x14ac:dyDescent="0.3">
      <c r="BL339" s="59"/>
      <c r="BM339" s="59"/>
      <c r="BN339" s="60"/>
      <c r="BO339" s="60"/>
      <c r="BP339" s="62"/>
      <c r="BQ339" s="62"/>
      <c r="BR339" s="64" t="s">
        <v>553</v>
      </c>
      <c r="BS339" s="64">
        <v>0.05</v>
      </c>
    </row>
    <row r="340" spans="64:71" x14ac:dyDescent="0.3">
      <c r="BL340" s="59"/>
      <c r="BM340" s="59"/>
      <c r="BN340" s="60"/>
      <c r="BO340" s="60"/>
      <c r="BP340" s="62"/>
      <c r="BQ340" s="62"/>
      <c r="BR340" s="64" t="s">
        <v>554</v>
      </c>
      <c r="BS340" s="64">
        <v>0.1</v>
      </c>
    </row>
    <row r="341" spans="64:71" x14ac:dyDescent="0.3">
      <c r="BL341" s="59"/>
      <c r="BM341" s="59"/>
      <c r="BN341" s="60"/>
      <c r="BO341" s="60"/>
      <c r="BP341" s="62"/>
      <c r="BQ341" s="62"/>
      <c r="BR341" s="64" t="s">
        <v>555</v>
      </c>
      <c r="BS341" s="64">
        <v>0.1</v>
      </c>
    </row>
    <row r="342" spans="64:71" x14ac:dyDescent="0.3">
      <c r="BL342" s="59"/>
      <c r="BM342" s="59"/>
      <c r="BN342" s="60"/>
      <c r="BO342" s="60"/>
      <c r="BP342" s="62"/>
      <c r="BQ342" s="62"/>
      <c r="BR342" s="64" t="s">
        <v>1306</v>
      </c>
      <c r="BS342" s="64">
        <v>0.1</v>
      </c>
    </row>
    <row r="343" spans="64:71" x14ac:dyDescent="0.3">
      <c r="BL343" s="59"/>
      <c r="BM343" s="59"/>
      <c r="BN343" s="60"/>
      <c r="BO343" s="60"/>
      <c r="BP343" s="62"/>
      <c r="BQ343" s="62"/>
      <c r="BR343" s="64" t="s">
        <v>1307</v>
      </c>
      <c r="BS343" s="64">
        <v>0.35</v>
      </c>
    </row>
    <row r="344" spans="64:71" x14ac:dyDescent="0.3">
      <c r="BL344" s="59"/>
      <c r="BM344" s="59"/>
      <c r="BN344" s="60"/>
      <c r="BO344" s="60"/>
      <c r="BP344" s="62"/>
      <c r="BQ344" s="62"/>
      <c r="BR344" s="64" t="s">
        <v>1406</v>
      </c>
      <c r="BS344" s="64">
        <v>0.15</v>
      </c>
    </row>
    <row r="345" spans="64:71" x14ac:dyDescent="0.3">
      <c r="BL345" s="59"/>
      <c r="BM345" s="59"/>
      <c r="BN345" s="60"/>
      <c r="BO345" s="60"/>
      <c r="BP345" s="62"/>
      <c r="BQ345" s="62"/>
      <c r="BR345" s="64" t="s">
        <v>1408</v>
      </c>
      <c r="BS345" s="64">
        <v>0.4</v>
      </c>
    </row>
  </sheetData>
  <sortState xmlns:xlrd2="http://schemas.microsoft.com/office/spreadsheetml/2017/richdata2" ref="E140:E189">
    <sortCondition ref="E140:E189"/>
  </sortState>
  <mergeCells count="4">
    <mergeCell ref="BR1:BS1"/>
    <mergeCell ref="BE1:BF1"/>
    <mergeCell ref="BL1:BM1"/>
    <mergeCell ref="BN1:BO1"/>
  </mergeCells>
  <phoneticPr fontId="10" type="noConversion"/>
  <pageMargins left="0.7" right="0.7" top="0.75" bottom="0.75" header="0.3" footer="0.3"/>
  <pageSetup paperSize="9" orientation="portrait"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1:R373"/>
  <sheetViews>
    <sheetView zoomScaleNormal="100" workbookViewId="0"/>
  </sheetViews>
  <sheetFormatPr defaultRowHeight="14.4" x14ac:dyDescent="0.3"/>
  <cols>
    <col min="2" max="2" width="15.44140625" style="3" bestFit="1" customWidth="1"/>
    <col min="3" max="3" width="10.88671875" customWidth="1"/>
    <col min="5" max="5" width="9.109375" style="3"/>
    <col min="8" max="8" width="9.109375" style="3"/>
    <col min="11" max="11" width="9.109375" style="3"/>
    <col min="17" max="17" width="10.33203125" bestFit="1" customWidth="1"/>
    <col min="18" max="18" width="9.109375" style="156"/>
    <col min="20" max="20" width="9.88671875" bestFit="1" customWidth="1"/>
  </cols>
  <sheetData>
    <row r="1" spans="2:18" ht="15.75" x14ac:dyDescent="0.25">
      <c r="B1" s="353" t="s">
        <v>1522</v>
      </c>
      <c r="C1" s="355"/>
      <c r="D1" s="355"/>
      <c r="E1" s="355"/>
      <c r="F1" s="355"/>
      <c r="G1" s="355"/>
      <c r="H1" s="355"/>
      <c r="I1" s="355"/>
      <c r="J1" s="355"/>
      <c r="K1" s="355"/>
      <c r="L1" s="354"/>
    </row>
    <row r="2" spans="2:18" ht="15.75" x14ac:dyDescent="0.25">
      <c r="B2" s="355" t="s">
        <v>1482</v>
      </c>
      <c r="C2" s="355"/>
      <c r="D2" s="158"/>
      <c r="E2" s="355" t="s">
        <v>1483</v>
      </c>
      <c r="F2" s="355"/>
      <c r="G2" s="158"/>
      <c r="H2" s="355" t="s">
        <v>1484</v>
      </c>
      <c r="I2" s="355"/>
      <c r="J2" s="158"/>
      <c r="K2" s="355" t="s">
        <v>1485</v>
      </c>
      <c r="L2" s="355"/>
      <c r="Q2" s="353" t="s">
        <v>1660</v>
      </c>
      <c r="R2" s="354"/>
    </row>
    <row r="3" spans="2:18" s="1" customFormat="1" ht="15" x14ac:dyDescent="0.25">
      <c r="B3" s="159" t="s">
        <v>1486</v>
      </c>
      <c r="C3" s="159" t="s">
        <v>1487</v>
      </c>
      <c r="D3" s="174"/>
      <c r="E3" s="159" t="s">
        <v>1486</v>
      </c>
      <c r="F3" s="159" t="s">
        <v>1487</v>
      </c>
      <c r="G3" s="174"/>
      <c r="H3" s="159" t="s">
        <v>1486</v>
      </c>
      <c r="I3" s="159" t="s">
        <v>1487</v>
      </c>
      <c r="J3" s="174"/>
      <c r="K3" s="159" t="s">
        <v>1486</v>
      </c>
      <c r="L3" s="159" t="s">
        <v>1487</v>
      </c>
      <c r="Q3" s="159" t="s">
        <v>95</v>
      </c>
      <c r="R3" s="159" t="s">
        <v>94</v>
      </c>
    </row>
    <row r="4" spans="2:18" ht="15" x14ac:dyDescent="0.25">
      <c r="B4" s="168"/>
      <c r="C4" s="161"/>
      <c r="D4" s="158"/>
      <c r="E4" s="168"/>
      <c r="F4" s="161"/>
      <c r="G4" s="158"/>
      <c r="H4" s="168"/>
      <c r="I4" s="161"/>
      <c r="J4" s="158"/>
      <c r="K4" s="168"/>
      <c r="L4" s="161"/>
      <c r="Q4" s="166"/>
      <c r="R4" s="167"/>
    </row>
    <row r="5" spans="2:18" x14ac:dyDescent="0.3">
      <c r="B5" s="168" t="s">
        <v>400</v>
      </c>
      <c r="C5" s="161">
        <v>0.6</v>
      </c>
      <c r="D5" s="158"/>
      <c r="E5" s="168" t="s">
        <v>124</v>
      </c>
      <c r="F5" s="161">
        <v>1</v>
      </c>
      <c r="G5" s="158"/>
      <c r="H5" s="168" t="s">
        <v>1488</v>
      </c>
      <c r="I5" s="161">
        <v>1.125</v>
      </c>
      <c r="J5" s="158"/>
      <c r="K5" s="168" t="s">
        <v>137</v>
      </c>
      <c r="L5" s="161">
        <v>1</v>
      </c>
      <c r="P5">
        <v>1</v>
      </c>
      <c r="Q5" s="166" t="s">
        <v>216</v>
      </c>
      <c r="R5" s="167">
        <v>0.1</v>
      </c>
    </row>
    <row r="6" spans="2:18" x14ac:dyDescent="0.3">
      <c r="B6" s="168" t="s">
        <v>401</v>
      </c>
      <c r="C6" s="161">
        <v>0.9</v>
      </c>
      <c r="D6" s="158"/>
      <c r="E6" s="168" t="s">
        <v>196</v>
      </c>
      <c r="F6" s="161">
        <v>1.1000000000000001</v>
      </c>
      <c r="G6" s="158"/>
      <c r="H6" s="168" t="s">
        <v>174</v>
      </c>
      <c r="I6" s="161">
        <v>1.2</v>
      </c>
      <c r="J6" s="158"/>
      <c r="K6" s="168" t="s">
        <v>139</v>
      </c>
      <c r="L6" s="161">
        <v>1.05</v>
      </c>
      <c r="P6">
        <v>2</v>
      </c>
      <c r="Q6" s="166" t="s">
        <v>1321</v>
      </c>
      <c r="R6" s="167">
        <v>0.2</v>
      </c>
    </row>
    <row r="7" spans="2:18" ht="15" x14ac:dyDescent="0.25">
      <c r="B7" s="168" t="s">
        <v>153</v>
      </c>
      <c r="C7" s="161">
        <v>0.95</v>
      </c>
      <c r="D7" s="158"/>
      <c r="E7" s="168" t="s">
        <v>1489</v>
      </c>
      <c r="F7" s="161">
        <v>1.05</v>
      </c>
      <c r="G7" s="158"/>
      <c r="H7" s="168" t="s">
        <v>1490</v>
      </c>
      <c r="I7" s="161">
        <v>0.67500000000000004</v>
      </c>
      <c r="J7" s="158"/>
      <c r="K7" s="168" t="s">
        <v>140</v>
      </c>
      <c r="L7" s="161">
        <v>1.2</v>
      </c>
      <c r="P7">
        <v>3</v>
      </c>
      <c r="Q7" s="166" t="s">
        <v>96</v>
      </c>
      <c r="R7" s="167">
        <v>0.4</v>
      </c>
    </row>
    <row r="8" spans="2:18" x14ac:dyDescent="0.3">
      <c r="B8" s="168" t="s">
        <v>403</v>
      </c>
      <c r="C8" s="161">
        <v>1</v>
      </c>
      <c r="D8" s="158"/>
      <c r="E8" s="168" t="s">
        <v>1491</v>
      </c>
      <c r="F8" s="161">
        <v>1.3</v>
      </c>
      <c r="G8" s="158"/>
      <c r="H8" s="168" t="s">
        <v>1946</v>
      </c>
      <c r="I8" s="161">
        <v>1.2250000000000001</v>
      </c>
      <c r="J8" s="158"/>
      <c r="K8" s="168" t="s">
        <v>141</v>
      </c>
      <c r="L8" s="161">
        <v>1.3</v>
      </c>
      <c r="P8">
        <v>4</v>
      </c>
      <c r="Q8" s="166" t="s">
        <v>1322</v>
      </c>
      <c r="R8" s="167">
        <v>0.4</v>
      </c>
    </row>
    <row r="9" spans="2:18" x14ac:dyDescent="0.3">
      <c r="B9" s="168" t="s">
        <v>404</v>
      </c>
      <c r="C9" s="161">
        <v>1.1499999999999999</v>
      </c>
      <c r="D9" s="158"/>
      <c r="E9" s="168" t="s">
        <v>1492</v>
      </c>
      <c r="F9" s="161">
        <v>1.1499999999999999</v>
      </c>
      <c r="G9" s="158"/>
      <c r="H9" s="168" t="s">
        <v>1947</v>
      </c>
      <c r="I9" s="161">
        <v>0.875</v>
      </c>
      <c r="J9" s="158"/>
      <c r="K9" s="168" t="s">
        <v>143</v>
      </c>
      <c r="L9" s="161">
        <v>1.1499999999999999</v>
      </c>
      <c r="P9">
        <v>5</v>
      </c>
      <c r="Q9" s="166" t="s">
        <v>1323</v>
      </c>
      <c r="R9" s="167">
        <v>0.4</v>
      </c>
    </row>
    <row r="10" spans="2:18" x14ac:dyDescent="0.3">
      <c r="B10" s="168" t="s">
        <v>147</v>
      </c>
      <c r="C10" s="161">
        <v>1</v>
      </c>
      <c r="D10" s="158"/>
      <c r="E10" s="168" t="s">
        <v>1494</v>
      </c>
      <c r="F10" s="161">
        <v>1.6</v>
      </c>
      <c r="G10" s="158"/>
      <c r="H10" s="168" t="s">
        <v>1948</v>
      </c>
      <c r="I10" s="161">
        <v>1.575</v>
      </c>
      <c r="J10" s="158"/>
      <c r="K10" s="168" t="s">
        <v>1493</v>
      </c>
      <c r="L10" s="161">
        <v>1.1000000000000001</v>
      </c>
      <c r="P10">
        <v>6</v>
      </c>
      <c r="Q10" s="166" t="s">
        <v>1965</v>
      </c>
      <c r="R10" s="167">
        <v>0.4</v>
      </c>
    </row>
    <row r="11" spans="2:18" ht="15" x14ac:dyDescent="0.25">
      <c r="B11" s="168" t="s">
        <v>204</v>
      </c>
      <c r="C11" s="161">
        <v>1.1000000000000001</v>
      </c>
      <c r="D11" s="158"/>
      <c r="E11" s="168" t="s">
        <v>96</v>
      </c>
      <c r="F11" s="161">
        <v>0.7</v>
      </c>
      <c r="G11" s="158"/>
      <c r="H11" s="168" t="s">
        <v>1949</v>
      </c>
      <c r="I11" s="161">
        <v>1.175</v>
      </c>
      <c r="J11" s="158"/>
      <c r="K11" s="168" t="s">
        <v>1495</v>
      </c>
      <c r="L11" s="161">
        <v>1</v>
      </c>
      <c r="P11">
        <v>7</v>
      </c>
      <c r="Q11" s="166" t="s">
        <v>97</v>
      </c>
      <c r="R11" s="167">
        <v>0.6</v>
      </c>
    </row>
    <row r="12" spans="2:18" x14ac:dyDescent="0.3">
      <c r="B12" s="168"/>
      <c r="C12" s="161"/>
      <c r="D12" s="158"/>
      <c r="E12" s="168" t="s">
        <v>1496</v>
      </c>
      <c r="F12" s="161">
        <v>0.8</v>
      </c>
      <c r="G12" s="158"/>
      <c r="H12" s="168" t="s">
        <v>1499</v>
      </c>
      <c r="I12" s="161">
        <v>0.77500000000000002</v>
      </c>
      <c r="J12" s="158"/>
      <c r="K12" s="168" t="s">
        <v>153</v>
      </c>
      <c r="L12" s="161">
        <v>0.8</v>
      </c>
      <c r="P12">
        <v>8</v>
      </c>
      <c r="Q12" s="166" t="s">
        <v>1324</v>
      </c>
      <c r="R12" s="167">
        <v>0.6</v>
      </c>
    </row>
    <row r="13" spans="2:18" x14ac:dyDescent="0.3">
      <c r="B13" s="168"/>
      <c r="C13" s="161"/>
      <c r="D13" s="158"/>
      <c r="E13" s="168" t="s">
        <v>1498</v>
      </c>
      <c r="F13" s="161">
        <v>1.0249999999999999</v>
      </c>
      <c r="G13" s="158"/>
      <c r="H13" s="168" t="s">
        <v>605</v>
      </c>
      <c r="I13" s="161">
        <v>0.875</v>
      </c>
      <c r="J13" s="158"/>
      <c r="K13" s="168" t="s">
        <v>1497</v>
      </c>
      <c r="L13" s="161">
        <v>1.2</v>
      </c>
      <c r="P13">
        <v>9</v>
      </c>
      <c r="Q13" s="166" t="s">
        <v>1966</v>
      </c>
      <c r="R13" s="167">
        <v>0.6</v>
      </c>
    </row>
    <row r="14" spans="2:18" ht="15" x14ac:dyDescent="0.25">
      <c r="B14" s="168"/>
      <c r="C14" s="161"/>
      <c r="D14" s="158"/>
      <c r="E14" s="168" t="s">
        <v>1916</v>
      </c>
      <c r="F14" s="161">
        <v>1</v>
      </c>
      <c r="G14" s="158"/>
      <c r="H14" s="168" t="s">
        <v>1950</v>
      </c>
      <c r="I14" s="161">
        <v>1.2749999999999999</v>
      </c>
      <c r="J14" s="158"/>
      <c r="K14" s="168"/>
      <c r="L14" s="161"/>
      <c r="P14">
        <v>10</v>
      </c>
      <c r="Q14" s="166" t="s">
        <v>1967</v>
      </c>
      <c r="R14" s="167">
        <v>0.6</v>
      </c>
    </row>
    <row r="15" spans="2:18" ht="15" x14ac:dyDescent="0.25">
      <c r="B15" s="168"/>
      <c r="C15" s="161"/>
      <c r="D15" s="158"/>
      <c r="E15" s="168" t="s">
        <v>1500</v>
      </c>
      <c r="F15" s="161">
        <v>1.1000000000000001</v>
      </c>
      <c r="G15" s="158"/>
      <c r="H15" s="168" t="s">
        <v>181</v>
      </c>
      <c r="I15" s="161">
        <v>1.175</v>
      </c>
      <c r="J15" s="158"/>
      <c r="K15" s="168"/>
      <c r="L15" s="161"/>
      <c r="P15">
        <v>11</v>
      </c>
      <c r="Q15" s="166" t="s">
        <v>98</v>
      </c>
      <c r="R15" s="167">
        <v>0.8</v>
      </c>
    </row>
    <row r="16" spans="2:18" ht="15" x14ac:dyDescent="0.25">
      <c r="B16" s="168"/>
      <c r="C16" s="161"/>
      <c r="D16" s="158"/>
      <c r="E16" s="168"/>
      <c r="F16" s="161"/>
      <c r="G16" s="158"/>
      <c r="H16" s="168" t="s">
        <v>1501</v>
      </c>
      <c r="I16" s="161">
        <v>1.075</v>
      </c>
      <c r="J16" s="158"/>
      <c r="K16" s="168"/>
      <c r="L16" s="161"/>
      <c r="P16">
        <v>12</v>
      </c>
      <c r="Q16" s="166" t="s">
        <v>1968</v>
      </c>
      <c r="R16" s="167">
        <v>0.8</v>
      </c>
    </row>
    <row r="17" spans="2:18" ht="15" x14ac:dyDescent="0.25">
      <c r="B17" s="168"/>
      <c r="C17" s="161"/>
      <c r="D17" s="158"/>
      <c r="E17" s="168"/>
      <c r="F17" s="161"/>
      <c r="G17" s="158"/>
      <c r="H17" s="168" t="s">
        <v>1502</v>
      </c>
      <c r="I17" s="161">
        <v>1.075</v>
      </c>
      <c r="J17" s="158"/>
      <c r="K17" s="168"/>
      <c r="L17" s="161"/>
      <c r="P17">
        <v>13</v>
      </c>
      <c r="Q17" s="166" t="s">
        <v>1969</v>
      </c>
      <c r="R17" s="167">
        <v>0.8</v>
      </c>
    </row>
    <row r="18" spans="2:18" ht="15" x14ac:dyDescent="0.25">
      <c r="B18" s="168"/>
      <c r="C18" s="161"/>
      <c r="D18" s="158"/>
      <c r="E18" s="168"/>
      <c r="F18" s="161"/>
      <c r="G18" s="158"/>
      <c r="H18" s="168" t="s">
        <v>1503</v>
      </c>
      <c r="I18" s="161">
        <v>1.075</v>
      </c>
      <c r="J18" s="158"/>
      <c r="K18" s="168"/>
      <c r="L18" s="161"/>
      <c r="P18">
        <v>14</v>
      </c>
      <c r="Q18" s="166" t="s">
        <v>99</v>
      </c>
      <c r="R18" s="167">
        <v>0.8</v>
      </c>
    </row>
    <row r="19" spans="2:18" ht="15" x14ac:dyDescent="0.25">
      <c r="B19" s="168"/>
      <c r="C19" s="161"/>
      <c r="D19" s="158"/>
      <c r="E19" s="168"/>
      <c r="F19" s="161"/>
      <c r="G19" s="158"/>
      <c r="H19" s="168" t="s">
        <v>1504</v>
      </c>
      <c r="I19" s="161">
        <v>1.375</v>
      </c>
      <c r="J19" s="158"/>
      <c r="K19" s="168"/>
      <c r="L19" s="161"/>
      <c r="P19">
        <v>15</v>
      </c>
      <c r="Q19" s="166" t="s">
        <v>100</v>
      </c>
      <c r="R19" s="167">
        <v>0.8</v>
      </c>
    </row>
    <row r="20" spans="2:18" x14ac:dyDescent="0.3">
      <c r="B20" s="168"/>
      <c r="C20" s="161"/>
      <c r="D20" s="158"/>
      <c r="E20" s="168"/>
      <c r="F20" s="161"/>
      <c r="G20" s="158"/>
      <c r="H20" s="168" t="s">
        <v>1505</v>
      </c>
      <c r="I20" s="161">
        <v>1.2250000000000001</v>
      </c>
      <c r="J20" s="158"/>
      <c r="K20" s="168"/>
      <c r="L20" s="161"/>
      <c r="P20">
        <v>16</v>
      </c>
      <c r="Q20" s="166" t="s">
        <v>101</v>
      </c>
      <c r="R20" s="167">
        <v>0.8</v>
      </c>
    </row>
    <row r="21" spans="2:18" x14ac:dyDescent="0.3">
      <c r="B21" s="168"/>
      <c r="C21" s="161"/>
      <c r="D21" s="158"/>
      <c r="E21" s="168"/>
      <c r="F21" s="161"/>
      <c r="G21" s="158"/>
      <c r="H21" s="168"/>
      <c r="I21" s="161"/>
      <c r="J21" s="158"/>
      <c r="K21" s="168"/>
      <c r="L21" s="161"/>
      <c r="P21">
        <v>17</v>
      </c>
      <c r="Q21" s="166" t="s">
        <v>102</v>
      </c>
      <c r="R21" s="167">
        <v>0.8</v>
      </c>
    </row>
    <row r="22" spans="2:18" x14ac:dyDescent="0.3">
      <c r="B22" s="168"/>
      <c r="C22" s="161"/>
      <c r="D22" s="158"/>
      <c r="E22" s="168"/>
      <c r="F22" s="161"/>
      <c r="G22" s="158"/>
      <c r="H22" s="168"/>
      <c r="I22" s="161"/>
      <c r="J22" s="158"/>
      <c r="K22" s="168"/>
      <c r="L22" s="161"/>
      <c r="P22">
        <v>18</v>
      </c>
      <c r="Q22" s="166" t="s">
        <v>1325</v>
      </c>
      <c r="R22" s="167">
        <v>0.8</v>
      </c>
    </row>
    <row r="23" spans="2:18" x14ac:dyDescent="0.3">
      <c r="B23" s="168"/>
      <c r="C23" s="161"/>
      <c r="D23" s="158"/>
      <c r="E23" s="168"/>
      <c r="F23" s="161"/>
      <c r="G23" s="158"/>
      <c r="H23" s="168"/>
      <c r="I23" s="161"/>
      <c r="J23" s="158"/>
      <c r="K23" s="168"/>
      <c r="L23" s="161"/>
      <c r="P23">
        <v>19</v>
      </c>
      <c r="Q23" s="166" t="s">
        <v>103</v>
      </c>
      <c r="R23" s="167">
        <v>1</v>
      </c>
    </row>
    <row r="24" spans="2:18" x14ac:dyDescent="0.3">
      <c r="B24" s="168"/>
      <c r="C24" s="161"/>
      <c r="D24" s="158"/>
      <c r="E24" s="168"/>
      <c r="F24" s="161"/>
      <c r="G24" s="158"/>
      <c r="H24" s="168"/>
      <c r="I24" s="161"/>
      <c r="J24" s="158"/>
      <c r="K24" s="168"/>
      <c r="L24" s="161"/>
      <c r="P24">
        <v>20</v>
      </c>
      <c r="Q24" s="166" t="s">
        <v>1970</v>
      </c>
      <c r="R24" s="167">
        <v>1</v>
      </c>
    </row>
    <row r="25" spans="2:18" x14ac:dyDescent="0.3">
      <c r="B25" s="168"/>
      <c r="C25" s="161"/>
      <c r="D25" s="158"/>
      <c r="E25" s="168"/>
      <c r="F25" s="161"/>
      <c r="G25" s="158"/>
      <c r="H25" s="168"/>
      <c r="I25" s="161"/>
      <c r="J25" s="158"/>
      <c r="K25" s="168"/>
      <c r="L25" s="161"/>
      <c r="P25">
        <v>21</v>
      </c>
      <c r="Q25" s="166" t="s">
        <v>104</v>
      </c>
      <c r="R25" s="167">
        <v>1</v>
      </c>
    </row>
    <row r="26" spans="2:18" x14ac:dyDescent="0.3">
      <c r="B26" s="168"/>
      <c r="C26" s="161"/>
      <c r="D26" s="158"/>
      <c r="E26" s="168"/>
      <c r="F26" s="161"/>
      <c r="G26" s="158"/>
      <c r="H26" s="168"/>
      <c r="I26" s="161"/>
      <c r="J26" s="158"/>
      <c r="K26" s="168"/>
      <c r="L26" s="161"/>
      <c r="P26">
        <v>22</v>
      </c>
      <c r="Q26" s="166" t="s">
        <v>1971</v>
      </c>
      <c r="R26" s="167">
        <v>1</v>
      </c>
    </row>
    <row r="27" spans="2:18" x14ac:dyDescent="0.3">
      <c r="B27" s="168"/>
      <c r="C27" s="161"/>
      <c r="D27" s="158"/>
      <c r="E27" s="168"/>
      <c r="F27" s="161"/>
      <c r="G27" s="158"/>
      <c r="H27" s="168"/>
      <c r="I27" s="161"/>
      <c r="J27" s="158"/>
      <c r="K27" s="168"/>
      <c r="L27" s="161"/>
      <c r="P27">
        <v>22</v>
      </c>
      <c r="Q27" s="166" t="s">
        <v>105</v>
      </c>
      <c r="R27" s="167">
        <v>1</v>
      </c>
    </row>
    <row r="28" spans="2:18" x14ac:dyDescent="0.3">
      <c r="B28" s="169"/>
      <c r="C28" s="162"/>
      <c r="D28" s="158"/>
      <c r="E28" s="169"/>
      <c r="F28" s="162"/>
      <c r="G28" s="158"/>
      <c r="H28" s="169"/>
      <c r="I28" s="162"/>
      <c r="J28" s="158"/>
      <c r="K28" s="169"/>
      <c r="L28" s="162"/>
      <c r="P28">
        <v>23</v>
      </c>
      <c r="Q28" s="166" t="s">
        <v>1972</v>
      </c>
      <c r="R28" s="167">
        <v>1</v>
      </c>
    </row>
    <row r="29" spans="2:18" x14ac:dyDescent="0.3">
      <c r="B29" s="169"/>
      <c r="C29" s="162"/>
      <c r="D29" s="158"/>
      <c r="E29" s="169"/>
      <c r="F29" s="162"/>
      <c r="G29" s="158"/>
      <c r="H29" s="169"/>
      <c r="I29" s="162"/>
      <c r="J29" s="158"/>
      <c r="K29" s="169"/>
      <c r="L29" s="162"/>
      <c r="P29">
        <v>24</v>
      </c>
      <c r="Q29" s="166" t="s">
        <v>106</v>
      </c>
      <c r="R29" s="167">
        <v>1</v>
      </c>
    </row>
    <row r="30" spans="2:18" x14ac:dyDescent="0.3">
      <c r="B30" s="169"/>
      <c r="C30" s="162"/>
      <c r="D30" s="158"/>
      <c r="E30" s="169"/>
      <c r="F30" s="162"/>
      <c r="G30" s="158"/>
      <c r="H30" s="169"/>
      <c r="I30" s="162"/>
      <c r="J30" s="158"/>
      <c r="K30" s="169"/>
      <c r="L30" s="162"/>
      <c r="P30">
        <v>25</v>
      </c>
      <c r="Q30" s="166" t="s">
        <v>1326</v>
      </c>
      <c r="R30" s="167">
        <v>1</v>
      </c>
    </row>
    <row r="31" spans="2:18" x14ac:dyDescent="0.3">
      <c r="B31" s="169"/>
      <c r="C31" s="160"/>
      <c r="D31" s="158"/>
      <c r="E31" s="169"/>
      <c r="F31" s="160"/>
      <c r="G31" s="158"/>
      <c r="H31" s="169"/>
      <c r="I31" s="160"/>
      <c r="J31" s="158"/>
      <c r="K31" s="169"/>
      <c r="L31" s="160"/>
      <c r="P31">
        <v>26</v>
      </c>
      <c r="Q31" s="166" t="s">
        <v>107</v>
      </c>
      <c r="R31" s="167">
        <v>1.2</v>
      </c>
    </row>
    <row r="32" spans="2:18" x14ac:dyDescent="0.3">
      <c r="P32">
        <v>27</v>
      </c>
      <c r="Q32" s="166" t="s">
        <v>1973</v>
      </c>
      <c r="R32" s="167">
        <v>1.2</v>
      </c>
    </row>
    <row r="33" spans="2:18" x14ac:dyDescent="0.3">
      <c r="P33">
        <v>27</v>
      </c>
      <c r="Q33" s="166" t="s">
        <v>108</v>
      </c>
      <c r="R33" s="167">
        <v>1.2</v>
      </c>
    </row>
    <row r="34" spans="2:18" x14ac:dyDescent="0.3">
      <c r="P34">
        <v>28</v>
      </c>
      <c r="Q34" s="166" t="s">
        <v>1974</v>
      </c>
      <c r="R34" s="167">
        <v>1.2</v>
      </c>
    </row>
    <row r="35" spans="2:18" ht="15.6" x14ac:dyDescent="0.3">
      <c r="B35" s="353" t="s">
        <v>1523</v>
      </c>
      <c r="C35" s="355"/>
      <c r="D35" s="355"/>
      <c r="E35" s="355"/>
      <c r="F35" s="355"/>
      <c r="G35" s="355"/>
      <c r="H35" s="355"/>
      <c r="I35" s="355"/>
      <c r="J35" s="355"/>
      <c r="K35" s="355"/>
      <c r="L35" s="354"/>
      <c r="P35">
        <v>29</v>
      </c>
      <c r="Q35" s="166" t="s">
        <v>109</v>
      </c>
      <c r="R35" s="167">
        <v>1.2</v>
      </c>
    </row>
    <row r="36" spans="2:18" ht="15.6" x14ac:dyDescent="0.3">
      <c r="B36" s="355" t="s">
        <v>1482</v>
      </c>
      <c r="C36" s="355"/>
      <c r="D36" s="158"/>
      <c r="E36" s="355" t="s">
        <v>1483</v>
      </c>
      <c r="F36" s="355"/>
      <c r="G36" s="158"/>
      <c r="H36" s="355" t="s">
        <v>1484</v>
      </c>
      <c r="I36" s="355"/>
      <c r="J36" s="158"/>
      <c r="K36" s="355" t="s">
        <v>1485</v>
      </c>
      <c r="L36" s="355"/>
      <c r="P36">
        <v>30</v>
      </c>
      <c r="Q36" s="166" t="s">
        <v>110</v>
      </c>
      <c r="R36" s="167">
        <v>1.2</v>
      </c>
    </row>
    <row r="37" spans="2:18" x14ac:dyDescent="0.3">
      <c r="B37" s="159" t="s">
        <v>1486</v>
      </c>
      <c r="C37" s="159" t="s">
        <v>1487</v>
      </c>
      <c r="D37" s="174"/>
      <c r="E37" s="159" t="s">
        <v>1486</v>
      </c>
      <c r="F37" s="159" t="s">
        <v>1487</v>
      </c>
      <c r="G37" s="174"/>
      <c r="H37" s="159" t="s">
        <v>1486</v>
      </c>
      <c r="I37" s="159" t="s">
        <v>1487</v>
      </c>
      <c r="J37" s="174"/>
      <c r="K37" s="159" t="s">
        <v>1486</v>
      </c>
      <c r="L37" s="159" t="s">
        <v>1487</v>
      </c>
      <c r="P37">
        <v>31</v>
      </c>
      <c r="Q37" s="166" t="s">
        <v>1975</v>
      </c>
      <c r="R37" s="167">
        <v>1.4</v>
      </c>
    </row>
    <row r="38" spans="2:18" x14ac:dyDescent="0.3">
      <c r="B38" s="168"/>
      <c r="C38" s="161"/>
      <c r="D38" s="158"/>
      <c r="E38" s="168"/>
      <c r="F38" s="161"/>
      <c r="G38" s="158"/>
      <c r="H38" s="168"/>
      <c r="I38" s="161"/>
      <c r="J38" s="158"/>
      <c r="K38" s="168"/>
      <c r="L38" s="161"/>
      <c r="P38">
        <v>32</v>
      </c>
      <c r="Q38" s="166" t="s">
        <v>1976</v>
      </c>
      <c r="R38" s="167">
        <v>1.4</v>
      </c>
    </row>
    <row r="39" spans="2:18" x14ac:dyDescent="0.3">
      <c r="B39" s="168" t="s">
        <v>1506</v>
      </c>
      <c r="C39" s="161"/>
      <c r="D39" s="158"/>
      <c r="E39" s="168" t="s">
        <v>1412</v>
      </c>
      <c r="F39" s="161">
        <v>1.3</v>
      </c>
      <c r="G39" s="158"/>
      <c r="H39" s="168" t="s">
        <v>1506</v>
      </c>
      <c r="I39" s="161"/>
      <c r="J39" s="158"/>
      <c r="K39" s="168" t="s">
        <v>228</v>
      </c>
      <c r="L39" s="161">
        <v>0.05</v>
      </c>
      <c r="P39">
        <v>33</v>
      </c>
      <c r="Q39" s="166" t="s">
        <v>1289</v>
      </c>
      <c r="R39" s="167">
        <v>1.4</v>
      </c>
    </row>
    <row r="40" spans="2:18" x14ac:dyDescent="0.3">
      <c r="B40" s="168"/>
      <c r="C40" s="161"/>
      <c r="D40" s="158"/>
      <c r="E40" s="168" t="s">
        <v>1917</v>
      </c>
      <c r="F40" s="161">
        <v>1.05</v>
      </c>
      <c r="G40" s="158"/>
      <c r="H40" s="168"/>
      <c r="I40" s="161"/>
      <c r="J40" s="158"/>
      <c r="K40" s="168" t="s">
        <v>229</v>
      </c>
      <c r="L40" s="161">
        <v>0.2</v>
      </c>
      <c r="P40">
        <v>34</v>
      </c>
      <c r="Q40" s="166" t="s">
        <v>1291</v>
      </c>
      <c r="R40" s="167">
        <v>1.4</v>
      </c>
    </row>
    <row r="41" spans="2:18" x14ac:dyDescent="0.3">
      <c r="B41" s="168"/>
      <c r="C41" s="161"/>
      <c r="D41" s="158"/>
      <c r="E41" s="168" t="s">
        <v>1294</v>
      </c>
      <c r="F41" s="161">
        <v>1.1000000000000001</v>
      </c>
      <c r="G41" s="158"/>
      <c r="H41" s="168"/>
      <c r="I41" s="161"/>
      <c r="J41" s="158"/>
      <c r="K41" s="168" t="s">
        <v>1507</v>
      </c>
      <c r="L41" s="161">
        <v>0.3</v>
      </c>
      <c r="P41">
        <v>35</v>
      </c>
      <c r="Q41" s="166" t="s">
        <v>111</v>
      </c>
      <c r="R41" s="167">
        <v>1.6</v>
      </c>
    </row>
    <row r="42" spans="2:18" x14ac:dyDescent="0.3">
      <c r="B42" s="168"/>
      <c r="C42" s="161"/>
      <c r="D42" s="158"/>
      <c r="E42" s="168" t="s">
        <v>135</v>
      </c>
      <c r="F42" s="161">
        <v>0.8</v>
      </c>
      <c r="G42" s="158"/>
      <c r="H42" s="168"/>
      <c r="I42" s="161"/>
      <c r="J42" s="158"/>
      <c r="K42" s="168" t="s">
        <v>230</v>
      </c>
      <c r="L42" s="161">
        <v>0.15</v>
      </c>
      <c r="P42">
        <v>36</v>
      </c>
      <c r="Q42" s="166" t="s">
        <v>1977</v>
      </c>
      <c r="R42" s="167">
        <v>1.6</v>
      </c>
    </row>
    <row r="43" spans="2:18" x14ac:dyDescent="0.3">
      <c r="B43" s="168"/>
      <c r="C43" s="161"/>
      <c r="D43" s="158"/>
      <c r="E43" s="168" t="s">
        <v>280</v>
      </c>
      <c r="F43" s="161">
        <v>0.7</v>
      </c>
      <c r="G43" s="158"/>
      <c r="H43" s="168"/>
      <c r="I43" s="161"/>
      <c r="J43" s="158"/>
      <c r="K43" s="168" t="s">
        <v>1508</v>
      </c>
      <c r="L43" s="161">
        <v>0.4</v>
      </c>
      <c r="P43">
        <v>37</v>
      </c>
      <c r="Q43" s="166" t="s">
        <v>1978</v>
      </c>
      <c r="R43" s="167">
        <v>1.6</v>
      </c>
    </row>
    <row r="44" spans="2:18" x14ac:dyDescent="0.3">
      <c r="B44" s="168"/>
      <c r="C44" s="161"/>
      <c r="D44" s="158"/>
      <c r="E44" s="168" t="s">
        <v>281</v>
      </c>
      <c r="F44" s="161">
        <v>0.7</v>
      </c>
      <c r="G44" s="158"/>
      <c r="H44" s="168"/>
      <c r="I44" s="161"/>
      <c r="J44" s="158"/>
      <c r="K44" s="168" t="s">
        <v>233</v>
      </c>
      <c r="L44" s="161">
        <v>0.1</v>
      </c>
      <c r="P44">
        <v>38</v>
      </c>
      <c r="Q44" s="166" t="s">
        <v>1288</v>
      </c>
      <c r="R44" s="167">
        <v>1.8</v>
      </c>
    </row>
    <row r="45" spans="2:18" x14ac:dyDescent="0.3">
      <c r="B45" s="168"/>
      <c r="C45" s="161"/>
      <c r="D45" s="158"/>
      <c r="E45" s="168" t="s">
        <v>282</v>
      </c>
      <c r="F45" s="161">
        <v>0.6</v>
      </c>
      <c r="G45" s="158"/>
      <c r="H45" s="168"/>
      <c r="I45" s="161"/>
      <c r="J45" s="158"/>
      <c r="K45" s="168" t="s">
        <v>238</v>
      </c>
      <c r="L45" s="161">
        <v>0.25</v>
      </c>
      <c r="P45">
        <v>39</v>
      </c>
      <c r="Q45" s="166" t="s">
        <v>2029</v>
      </c>
      <c r="R45" s="167">
        <v>1.8</v>
      </c>
    </row>
    <row r="46" spans="2:18" x14ac:dyDescent="0.3">
      <c r="B46" s="168"/>
      <c r="C46" s="161"/>
      <c r="D46" s="158"/>
      <c r="E46" s="168" t="s">
        <v>1521</v>
      </c>
      <c r="F46" s="161">
        <v>0.35</v>
      </c>
      <c r="G46" s="158"/>
      <c r="H46" s="168"/>
      <c r="I46" s="161"/>
      <c r="J46" s="158"/>
      <c r="K46" s="168" t="s">
        <v>1509</v>
      </c>
      <c r="L46" s="161">
        <v>0.35</v>
      </c>
      <c r="P46">
        <v>40</v>
      </c>
      <c r="Q46" s="166" t="s">
        <v>1979</v>
      </c>
      <c r="R46" s="167">
        <v>2</v>
      </c>
    </row>
    <row r="47" spans="2:18" x14ac:dyDescent="0.3">
      <c r="B47" s="168"/>
      <c r="C47" s="161"/>
      <c r="D47" s="158"/>
      <c r="E47" s="168" t="s">
        <v>136</v>
      </c>
      <c r="F47" s="161">
        <v>0.45</v>
      </c>
      <c r="G47" s="158"/>
      <c r="H47" s="168"/>
      <c r="I47" s="161"/>
      <c r="J47" s="158"/>
      <c r="K47" s="168" t="s">
        <v>1510</v>
      </c>
      <c r="L47" s="161">
        <v>0.4</v>
      </c>
      <c r="P47">
        <v>41</v>
      </c>
      <c r="Q47" s="166" t="s">
        <v>2030</v>
      </c>
      <c r="R47" s="167">
        <v>2</v>
      </c>
    </row>
    <row r="48" spans="2:18" x14ac:dyDescent="0.3">
      <c r="B48" s="168"/>
      <c r="C48" s="161"/>
      <c r="D48" s="158"/>
      <c r="E48" s="168" t="s">
        <v>283</v>
      </c>
      <c r="F48" s="161">
        <v>0.5</v>
      </c>
      <c r="G48" s="158"/>
      <c r="H48" s="168"/>
      <c r="I48" s="161"/>
      <c r="J48" s="158"/>
      <c r="K48" s="168" t="s">
        <v>246</v>
      </c>
      <c r="L48" s="161">
        <v>0.25</v>
      </c>
      <c r="P48">
        <v>42</v>
      </c>
      <c r="Q48" s="166" t="s">
        <v>2031</v>
      </c>
      <c r="R48" s="167">
        <v>2</v>
      </c>
    </row>
    <row r="49" spans="2:18" x14ac:dyDescent="0.3">
      <c r="B49" s="168"/>
      <c r="C49" s="161"/>
      <c r="D49" s="158"/>
      <c r="E49" s="168" t="s">
        <v>284</v>
      </c>
      <c r="F49" s="161">
        <v>0.15</v>
      </c>
      <c r="G49" s="158"/>
      <c r="H49" s="168"/>
      <c r="I49" s="161"/>
      <c r="J49" s="158"/>
      <c r="K49" s="168" t="s">
        <v>250</v>
      </c>
      <c r="L49" s="161">
        <v>0.35</v>
      </c>
      <c r="P49">
        <v>43</v>
      </c>
      <c r="Q49" s="166" t="s">
        <v>1395</v>
      </c>
      <c r="R49" s="167">
        <v>2.1</v>
      </c>
    </row>
    <row r="50" spans="2:18" x14ac:dyDescent="0.3">
      <c r="B50" s="168"/>
      <c r="C50" s="161"/>
      <c r="D50" s="158"/>
      <c r="E50" s="168" t="s">
        <v>285</v>
      </c>
      <c r="F50" s="161">
        <v>0.4</v>
      </c>
      <c r="G50" s="158"/>
      <c r="H50" s="168"/>
      <c r="I50" s="161"/>
      <c r="J50" s="158"/>
      <c r="K50" s="168" t="s">
        <v>1511</v>
      </c>
      <c r="L50" s="161">
        <v>0.35</v>
      </c>
      <c r="P50">
        <v>44</v>
      </c>
      <c r="Q50" s="166" t="s">
        <v>1396</v>
      </c>
      <c r="R50" s="167">
        <v>2.15</v>
      </c>
    </row>
    <row r="51" spans="2:18" x14ac:dyDescent="0.3">
      <c r="B51" s="168"/>
      <c r="C51" s="161"/>
      <c r="D51" s="158"/>
      <c r="E51" s="168" t="s">
        <v>286</v>
      </c>
      <c r="F51" s="161">
        <v>0.35</v>
      </c>
      <c r="G51" s="158"/>
      <c r="H51" s="168"/>
      <c r="I51" s="161"/>
      <c r="J51" s="158"/>
      <c r="K51" s="168" t="s">
        <v>1512</v>
      </c>
      <c r="L51" s="161">
        <v>0.3</v>
      </c>
      <c r="P51">
        <v>45</v>
      </c>
      <c r="Q51" s="166" t="s">
        <v>112</v>
      </c>
      <c r="R51" s="167">
        <v>2.2000000000000002</v>
      </c>
    </row>
    <row r="52" spans="2:18" x14ac:dyDescent="0.3">
      <c r="B52" s="168"/>
      <c r="C52" s="161"/>
      <c r="D52" s="158"/>
      <c r="E52" s="168" t="s">
        <v>288</v>
      </c>
      <c r="F52" s="161">
        <v>1.05</v>
      </c>
      <c r="G52" s="158"/>
      <c r="H52" s="168"/>
      <c r="I52" s="161"/>
      <c r="J52" s="158"/>
      <c r="K52" s="168" t="s">
        <v>1924</v>
      </c>
      <c r="L52" s="161">
        <v>0.3</v>
      </c>
      <c r="P52">
        <v>46</v>
      </c>
      <c r="Q52" s="166" t="s">
        <v>1290</v>
      </c>
      <c r="R52" s="167">
        <v>2.2000000000000002</v>
      </c>
    </row>
    <row r="53" spans="2:18" x14ac:dyDescent="0.3">
      <c r="B53" s="168"/>
      <c r="C53" s="161"/>
      <c r="D53" s="158"/>
      <c r="E53" s="168" t="s">
        <v>1513</v>
      </c>
      <c r="F53" s="161">
        <v>0.3</v>
      </c>
      <c r="G53" s="158"/>
      <c r="H53" s="168"/>
      <c r="I53" s="161"/>
      <c r="J53" s="158"/>
      <c r="K53" s="168" t="s">
        <v>1514</v>
      </c>
      <c r="L53" s="161">
        <v>0.1</v>
      </c>
      <c r="Q53" s="166"/>
      <c r="R53" s="167"/>
    </row>
    <row r="54" spans="2:18" x14ac:dyDescent="0.3">
      <c r="B54" s="168"/>
      <c r="C54" s="161"/>
      <c r="D54" s="158"/>
      <c r="E54" s="168" t="s">
        <v>292</v>
      </c>
      <c r="F54" s="161">
        <v>0.35</v>
      </c>
      <c r="G54" s="158"/>
      <c r="H54" s="168"/>
      <c r="I54" s="161"/>
      <c r="J54" s="158"/>
      <c r="K54" s="168" t="s">
        <v>1515</v>
      </c>
      <c r="L54" s="161">
        <v>0.27500000000000002</v>
      </c>
      <c r="Q54" s="166"/>
      <c r="R54" s="167"/>
    </row>
    <row r="55" spans="2:18" x14ac:dyDescent="0.3">
      <c r="B55" s="168"/>
      <c r="C55" s="161"/>
      <c r="D55" s="158"/>
      <c r="E55" s="168" t="s">
        <v>296</v>
      </c>
      <c r="F55" s="161">
        <v>0.1</v>
      </c>
      <c r="G55" s="158"/>
      <c r="H55" s="168"/>
      <c r="I55" s="161"/>
      <c r="J55" s="158"/>
      <c r="K55" s="168" t="s">
        <v>1516</v>
      </c>
      <c r="L55" s="161">
        <v>0.3</v>
      </c>
      <c r="Q55" s="166"/>
      <c r="R55" s="167"/>
    </row>
    <row r="56" spans="2:18" x14ac:dyDescent="0.3">
      <c r="B56" s="168"/>
      <c r="C56" s="161"/>
      <c r="D56" s="158"/>
      <c r="E56" s="168" t="s">
        <v>298</v>
      </c>
      <c r="F56" s="161">
        <v>2.5000000000000001E-2</v>
      </c>
      <c r="G56" s="158"/>
      <c r="H56" s="168"/>
      <c r="I56" s="161"/>
      <c r="J56" s="158"/>
      <c r="K56" s="168" t="s">
        <v>1517</v>
      </c>
      <c r="L56" s="161">
        <v>0.4</v>
      </c>
      <c r="Q56" s="166"/>
      <c r="R56" s="167"/>
    </row>
    <row r="57" spans="2:18" x14ac:dyDescent="0.3">
      <c r="B57" s="168"/>
      <c r="C57" s="161"/>
      <c r="D57" s="158"/>
      <c r="E57" s="168" t="s">
        <v>297</v>
      </c>
      <c r="F57" s="161">
        <v>0.1</v>
      </c>
      <c r="G57" s="158"/>
      <c r="H57" s="168"/>
      <c r="I57" s="161"/>
      <c r="J57" s="158"/>
      <c r="K57" s="168" t="s">
        <v>420</v>
      </c>
      <c r="L57" s="161">
        <v>0.2</v>
      </c>
      <c r="Q57" s="166"/>
      <c r="R57" s="167"/>
    </row>
    <row r="58" spans="2:18" x14ac:dyDescent="0.3">
      <c r="B58" s="168"/>
      <c r="C58" s="161"/>
      <c r="D58" s="158"/>
      <c r="E58" s="168" t="s">
        <v>300</v>
      </c>
      <c r="F58" s="161">
        <v>0.15</v>
      </c>
      <c r="G58" s="158"/>
      <c r="H58" s="168"/>
      <c r="I58" s="161"/>
      <c r="J58" s="158"/>
      <c r="K58" s="168" t="s">
        <v>1925</v>
      </c>
      <c r="L58" s="161">
        <v>0.6</v>
      </c>
      <c r="Q58" s="166"/>
      <c r="R58" s="167"/>
    </row>
    <row r="59" spans="2:18" x14ac:dyDescent="0.3">
      <c r="B59" s="168"/>
      <c r="C59" s="161"/>
      <c r="D59" s="158"/>
      <c r="E59" s="168" t="s">
        <v>1918</v>
      </c>
      <c r="F59" s="161">
        <v>0.125</v>
      </c>
      <c r="G59" s="158"/>
      <c r="H59" s="168"/>
      <c r="I59" s="161"/>
      <c r="J59" s="158"/>
      <c r="K59" s="168" t="s">
        <v>1926</v>
      </c>
      <c r="L59" s="161">
        <v>0.65</v>
      </c>
      <c r="Q59" s="166"/>
      <c r="R59" s="167"/>
    </row>
    <row r="60" spans="2:18" x14ac:dyDescent="0.3">
      <c r="B60" s="168"/>
      <c r="C60" s="161"/>
      <c r="D60" s="158"/>
      <c r="E60" s="168" t="s">
        <v>301</v>
      </c>
      <c r="F60" s="161">
        <v>0.1</v>
      </c>
      <c r="G60" s="158"/>
      <c r="H60" s="168"/>
      <c r="I60" s="161"/>
      <c r="J60" s="158"/>
      <c r="K60" s="168" t="s">
        <v>1927</v>
      </c>
      <c r="L60" s="161">
        <v>0.45</v>
      </c>
      <c r="Q60" s="166"/>
      <c r="R60" s="167"/>
    </row>
    <row r="61" spans="2:18" x14ac:dyDescent="0.3">
      <c r="B61" s="168"/>
      <c r="C61" s="161"/>
      <c r="D61" s="158"/>
      <c r="E61" s="168" t="s">
        <v>302</v>
      </c>
      <c r="F61" s="161">
        <v>0.3</v>
      </c>
      <c r="G61" s="158"/>
      <c r="H61" s="168"/>
      <c r="I61" s="161"/>
      <c r="J61" s="158"/>
      <c r="K61" s="168" t="s">
        <v>1928</v>
      </c>
      <c r="L61" s="161">
        <v>0.65</v>
      </c>
      <c r="Q61" s="166"/>
      <c r="R61" s="167"/>
    </row>
    <row r="62" spans="2:18" x14ac:dyDescent="0.3">
      <c r="B62" s="168"/>
      <c r="C62" s="161"/>
      <c r="D62" s="158"/>
      <c r="E62" s="168" t="s">
        <v>303</v>
      </c>
      <c r="F62" s="161">
        <v>0.1</v>
      </c>
      <c r="G62" s="158"/>
      <c r="H62" s="168"/>
      <c r="I62" s="161"/>
      <c r="J62" s="158"/>
      <c r="K62" s="168" t="s">
        <v>1929</v>
      </c>
      <c r="L62" s="161">
        <v>0.55000000000000004</v>
      </c>
      <c r="Q62" s="166"/>
      <c r="R62" s="167"/>
    </row>
    <row r="63" spans="2:18" x14ac:dyDescent="0.3">
      <c r="B63" s="168"/>
      <c r="C63" s="161"/>
      <c r="D63" s="158"/>
      <c r="E63" s="168" t="s">
        <v>1518</v>
      </c>
      <c r="F63" s="161">
        <v>0.15</v>
      </c>
      <c r="G63" s="158"/>
      <c r="H63" s="168"/>
      <c r="I63" s="161"/>
      <c r="J63" s="158"/>
      <c r="K63" s="168" t="s">
        <v>1930</v>
      </c>
      <c r="L63" s="161">
        <v>0.4</v>
      </c>
      <c r="Q63" s="166"/>
      <c r="R63" s="167"/>
    </row>
    <row r="64" spans="2:18" x14ac:dyDescent="0.3">
      <c r="B64" s="168"/>
      <c r="C64" s="161"/>
      <c r="D64" s="158"/>
      <c r="E64" s="168" t="s">
        <v>308</v>
      </c>
      <c r="F64" s="161">
        <v>0.2</v>
      </c>
      <c r="G64" s="158"/>
      <c r="H64" s="168"/>
      <c r="I64" s="161"/>
      <c r="J64" s="158"/>
      <c r="K64" s="168" t="s">
        <v>1931</v>
      </c>
      <c r="L64" s="161">
        <v>0.55000000000000004</v>
      </c>
      <c r="Q64" s="166"/>
      <c r="R64" s="167"/>
    </row>
    <row r="65" spans="2:18" x14ac:dyDescent="0.3">
      <c r="B65" s="168"/>
      <c r="C65" s="161"/>
      <c r="D65" s="158"/>
      <c r="E65" s="168" t="s">
        <v>1519</v>
      </c>
      <c r="F65" s="161">
        <v>0.55000000000000004</v>
      </c>
      <c r="G65" s="158"/>
      <c r="H65" s="168"/>
      <c r="I65" s="161"/>
      <c r="J65" s="158"/>
      <c r="K65" s="168"/>
      <c r="L65" s="161"/>
      <c r="Q65" s="166"/>
      <c r="R65" s="167"/>
    </row>
    <row r="66" spans="2:18" x14ac:dyDescent="0.3">
      <c r="B66" s="168"/>
      <c r="C66" s="161"/>
      <c r="D66" s="158"/>
      <c r="E66" s="168" t="s">
        <v>1520</v>
      </c>
      <c r="F66" s="161">
        <v>0.05</v>
      </c>
      <c r="G66" s="158"/>
      <c r="H66" s="168"/>
      <c r="I66" s="161"/>
      <c r="J66" s="158"/>
      <c r="K66" s="168"/>
      <c r="L66" s="161"/>
      <c r="Q66" s="166"/>
      <c r="R66" s="167"/>
    </row>
    <row r="67" spans="2:18" x14ac:dyDescent="0.3">
      <c r="B67" s="168"/>
      <c r="C67" s="161"/>
      <c r="D67" s="158"/>
      <c r="E67" s="168" t="s">
        <v>1919</v>
      </c>
      <c r="F67" s="161">
        <v>1.25</v>
      </c>
      <c r="G67" s="158"/>
      <c r="H67" s="168"/>
      <c r="I67" s="161"/>
      <c r="J67" s="158"/>
      <c r="K67" s="168"/>
      <c r="L67" s="161"/>
      <c r="Q67" s="166"/>
      <c r="R67" s="167"/>
    </row>
    <row r="68" spans="2:18" x14ac:dyDescent="0.3">
      <c r="B68" s="168"/>
      <c r="C68" s="161"/>
      <c r="D68" s="158"/>
      <c r="E68" s="168" t="s">
        <v>1920</v>
      </c>
      <c r="F68" s="161">
        <v>1.1000000000000001</v>
      </c>
      <c r="G68" s="158"/>
      <c r="H68" s="168"/>
      <c r="I68" s="161"/>
      <c r="J68" s="158"/>
      <c r="K68" s="168"/>
      <c r="L68" s="161"/>
      <c r="Q68" s="166"/>
      <c r="R68" s="167"/>
    </row>
    <row r="69" spans="2:18" x14ac:dyDescent="0.3">
      <c r="B69" s="168"/>
      <c r="C69" s="161"/>
      <c r="D69" s="158"/>
      <c r="E69" s="168"/>
      <c r="F69" s="161"/>
      <c r="G69" s="158"/>
      <c r="H69" s="168"/>
      <c r="I69" s="161"/>
      <c r="J69" s="158"/>
      <c r="K69" s="168"/>
      <c r="L69" s="161"/>
      <c r="Q69" s="166"/>
      <c r="R69" s="167"/>
    </row>
    <row r="70" spans="2:18" x14ac:dyDescent="0.3">
      <c r="B70" s="168"/>
      <c r="C70" s="161"/>
      <c r="D70" s="158"/>
      <c r="E70" s="168"/>
      <c r="F70" s="161"/>
      <c r="G70" s="158"/>
      <c r="H70" s="168"/>
      <c r="I70" s="161"/>
      <c r="J70" s="158"/>
      <c r="K70" s="168"/>
      <c r="L70" s="161"/>
      <c r="Q70" s="166"/>
      <c r="R70" s="167"/>
    </row>
    <row r="71" spans="2:18" x14ac:dyDescent="0.3">
      <c r="Q71" s="166"/>
      <c r="R71" s="167"/>
    </row>
    <row r="72" spans="2:18" x14ac:dyDescent="0.3">
      <c r="Q72" s="166"/>
      <c r="R72" s="167"/>
    </row>
    <row r="73" spans="2:18" x14ac:dyDescent="0.3">
      <c r="Q73" s="166"/>
      <c r="R73" s="167"/>
    </row>
    <row r="74" spans="2:18" ht="15.6" x14ac:dyDescent="0.3">
      <c r="B74" s="353" t="s">
        <v>1524</v>
      </c>
      <c r="C74" s="355"/>
      <c r="D74" s="355"/>
      <c r="E74" s="355"/>
      <c r="F74" s="355"/>
      <c r="G74" s="355"/>
      <c r="H74" s="355"/>
      <c r="I74" s="355"/>
      <c r="J74" s="355"/>
      <c r="K74" s="355"/>
      <c r="L74" s="354"/>
      <c r="Q74" s="166"/>
      <c r="R74" s="167"/>
    </row>
    <row r="75" spans="2:18" ht="15.6" x14ac:dyDescent="0.3">
      <c r="B75" s="355" t="s">
        <v>1482</v>
      </c>
      <c r="C75" s="355"/>
      <c r="D75" s="158"/>
      <c r="E75" s="355" t="s">
        <v>1483</v>
      </c>
      <c r="F75" s="355"/>
      <c r="G75" s="158"/>
      <c r="H75" s="355" t="s">
        <v>1484</v>
      </c>
      <c r="I75" s="355"/>
      <c r="J75" s="158"/>
      <c r="K75" s="355" t="s">
        <v>1485</v>
      </c>
      <c r="L75" s="355"/>
      <c r="Q75" s="166"/>
      <c r="R75" s="167"/>
    </row>
    <row r="76" spans="2:18" x14ac:dyDescent="0.3">
      <c r="B76" s="159" t="s">
        <v>1486</v>
      </c>
      <c r="C76" s="159" t="s">
        <v>1487</v>
      </c>
      <c r="D76" s="174"/>
      <c r="E76" s="159" t="s">
        <v>1486</v>
      </c>
      <c r="F76" s="159" t="s">
        <v>1487</v>
      </c>
      <c r="G76" s="174"/>
      <c r="H76" s="159" t="s">
        <v>1486</v>
      </c>
      <c r="I76" s="159" t="s">
        <v>1487</v>
      </c>
      <c r="J76" s="174"/>
      <c r="K76" s="159" t="s">
        <v>1486</v>
      </c>
      <c r="L76" s="159" t="s">
        <v>1487</v>
      </c>
      <c r="Q76" s="166"/>
      <c r="R76" s="167"/>
    </row>
    <row r="77" spans="2:18" x14ac:dyDescent="0.3">
      <c r="B77" s="168"/>
      <c r="C77" s="161"/>
      <c r="D77" s="158"/>
      <c r="E77" s="168"/>
      <c r="F77" s="161"/>
      <c r="G77" s="158"/>
      <c r="H77" s="168"/>
      <c r="I77" s="161"/>
      <c r="J77" s="158"/>
      <c r="K77" s="168"/>
      <c r="L77" s="161"/>
      <c r="Q77" s="166"/>
      <c r="R77" s="167"/>
    </row>
    <row r="78" spans="2:18" x14ac:dyDescent="0.3">
      <c r="B78" s="168" t="s">
        <v>226</v>
      </c>
      <c r="C78" s="161">
        <v>0.05</v>
      </c>
      <c r="D78" s="158"/>
      <c r="E78" s="168" t="s">
        <v>1506</v>
      </c>
      <c r="F78" s="161"/>
      <c r="G78" s="158"/>
      <c r="H78" s="168" t="s">
        <v>226</v>
      </c>
      <c r="I78" s="161">
        <v>0.05</v>
      </c>
      <c r="J78" s="158"/>
      <c r="K78" s="168" t="s">
        <v>1506</v>
      </c>
      <c r="L78" s="161"/>
      <c r="Q78" s="166"/>
      <c r="R78" s="167"/>
    </row>
    <row r="79" spans="2:18" x14ac:dyDescent="0.3">
      <c r="B79" s="168" t="s">
        <v>222</v>
      </c>
      <c r="C79" s="161">
        <v>0.05</v>
      </c>
      <c r="D79" s="158"/>
      <c r="E79" s="168"/>
      <c r="F79" s="161"/>
      <c r="G79" s="158"/>
      <c r="H79" s="168" t="s">
        <v>222</v>
      </c>
      <c r="I79" s="161">
        <v>0.05</v>
      </c>
      <c r="J79" s="158"/>
      <c r="K79" s="168"/>
      <c r="L79" s="161"/>
    </row>
    <row r="80" spans="2:18" x14ac:dyDescent="0.3">
      <c r="B80" s="168" t="s">
        <v>223</v>
      </c>
      <c r="C80" s="161">
        <v>0.1</v>
      </c>
      <c r="D80" s="158"/>
      <c r="E80" s="168"/>
      <c r="F80" s="161"/>
      <c r="G80" s="158"/>
      <c r="H80" s="168" t="s">
        <v>223</v>
      </c>
      <c r="I80" s="161">
        <v>0.1</v>
      </c>
      <c r="J80" s="158"/>
      <c r="K80" s="168"/>
      <c r="L80" s="161"/>
    </row>
    <row r="81" spans="2:18" x14ac:dyDescent="0.3">
      <c r="B81" s="168" t="s">
        <v>225</v>
      </c>
      <c r="C81" s="161">
        <v>0.2</v>
      </c>
      <c r="D81" s="158"/>
      <c r="E81" s="168"/>
      <c r="F81" s="161"/>
      <c r="G81" s="158"/>
      <c r="H81" s="168" t="s">
        <v>225</v>
      </c>
      <c r="I81" s="161">
        <v>0.2</v>
      </c>
      <c r="J81" s="158"/>
      <c r="K81" s="168"/>
      <c r="L81" s="161"/>
    </row>
    <row r="82" spans="2:18" x14ac:dyDescent="0.3">
      <c r="B82" s="168" t="s">
        <v>227</v>
      </c>
      <c r="C82" s="161">
        <v>0.4</v>
      </c>
      <c r="D82" s="158"/>
      <c r="E82" s="168"/>
      <c r="F82" s="161"/>
      <c r="G82" s="158"/>
      <c r="H82" s="168" t="s">
        <v>227</v>
      </c>
      <c r="I82" s="161">
        <v>0.4</v>
      </c>
      <c r="J82" s="158"/>
      <c r="K82" s="168"/>
      <c r="L82" s="161"/>
    </row>
    <row r="83" spans="2:18" x14ac:dyDescent="0.3">
      <c r="B83" s="168"/>
      <c r="C83" s="161"/>
      <c r="D83" s="158"/>
      <c r="E83" s="168"/>
      <c r="F83" s="161"/>
      <c r="G83" s="158"/>
      <c r="H83" s="168" t="s">
        <v>1951</v>
      </c>
      <c r="I83" s="161">
        <v>0.2</v>
      </c>
      <c r="J83" s="158"/>
      <c r="K83" s="168"/>
      <c r="L83" s="161"/>
    </row>
    <row r="84" spans="2:18" x14ac:dyDescent="0.3">
      <c r="B84" s="168"/>
      <c r="C84" s="161"/>
      <c r="D84" s="158"/>
      <c r="E84" s="168"/>
      <c r="F84" s="161"/>
      <c r="G84" s="158"/>
      <c r="H84" s="168"/>
      <c r="I84" s="161"/>
      <c r="J84" s="158"/>
      <c r="K84" s="168"/>
      <c r="L84" s="161"/>
    </row>
    <row r="85" spans="2:18" x14ac:dyDescent="0.3">
      <c r="B85" s="168"/>
      <c r="C85" s="161"/>
      <c r="D85" s="158"/>
      <c r="E85" s="168"/>
      <c r="F85" s="161"/>
      <c r="G85" s="158"/>
      <c r="H85" s="168"/>
      <c r="I85" s="161"/>
      <c r="J85" s="158"/>
      <c r="K85" s="168"/>
      <c r="L85" s="161"/>
    </row>
    <row r="86" spans="2:18" x14ac:dyDescent="0.3">
      <c r="B86" s="168"/>
      <c r="C86" s="161"/>
      <c r="D86" s="158"/>
      <c r="E86" s="168"/>
      <c r="F86" s="161"/>
      <c r="G86" s="158"/>
      <c r="H86" s="168"/>
      <c r="I86" s="161"/>
      <c r="J86" s="158"/>
      <c r="K86" s="168"/>
      <c r="L86" s="161"/>
    </row>
    <row r="87" spans="2:18" x14ac:dyDescent="0.3">
      <c r="B87" s="168"/>
      <c r="C87" s="161"/>
      <c r="D87" s="158"/>
      <c r="E87" s="168"/>
      <c r="F87" s="161"/>
      <c r="G87" s="158"/>
      <c r="H87" s="168"/>
      <c r="I87" s="161"/>
      <c r="J87" s="158"/>
      <c r="K87" s="168"/>
      <c r="L87" s="161"/>
    </row>
    <row r="88" spans="2:18" x14ac:dyDescent="0.3">
      <c r="B88" s="168"/>
      <c r="C88" s="161"/>
      <c r="D88" s="158"/>
      <c r="E88" s="168"/>
      <c r="F88" s="161"/>
      <c r="G88" s="158"/>
      <c r="H88" s="168"/>
      <c r="I88" s="161"/>
      <c r="J88" s="158"/>
      <c r="K88" s="168"/>
      <c r="L88" s="161"/>
    </row>
    <row r="89" spans="2:18" x14ac:dyDescent="0.3">
      <c r="B89" s="168"/>
      <c r="C89" s="161"/>
      <c r="D89" s="158"/>
      <c r="E89" s="168"/>
      <c r="F89" s="161"/>
      <c r="G89" s="158"/>
      <c r="H89" s="168"/>
      <c r="I89" s="161"/>
      <c r="J89" s="158"/>
      <c r="K89" s="168"/>
      <c r="L89" s="161"/>
    </row>
    <row r="90" spans="2:18" x14ac:dyDescent="0.3">
      <c r="B90" s="168"/>
      <c r="C90" s="161"/>
      <c r="D90" s="158"/>
      <c r="E90" s="168"/>
      <c r="F90" s="161"/>
      <c r="G90" s="158"/>
      <c r="H90" s="168"/>
      <c r="I90" s="161"/>
      <c r="J90" s="158"/>
      <c r="K90" s="168"/>
      <c r="L90" s="161"/>
    </row>
    <row r="91" spans="2:18" x14ac:dyDescent="0.3">
      <c r="B91" s="168"/>
      <c r="C91" s="161"/>
      <c r="D91" s="158"/>
      <c r="E91" s="168"/>
      <c r="F91" s="161"/>
      <c r="G91" s="158"/>
      <c r="H91" s="168"/>
      <c r="I91" s="161"/>
      <c r="J91" s="158"/>
      <c r="K91" s="168"/>
      <c r="L91" s="161"/>
    </row>
    <row r="92" spans="2:18" x14ac:dyDescent="0.3">
      <c r="B92" s="168"/>
      <c r="C92" s="161"/>
      <c r="D92" s="158"/>
      <c r="E92" s="168"/>
      <c r="F92" s="161"/>
      <c r="G92" s="158"/>
      <c r="H92" s="168"/>
      <c r="I92" s="161"/>
      <c r="J92" s="158"/>
      <c r="K92" s="168"/>
      <c r="L92" s="161"/>
    </row>
    <row r="93" spans="2:18" x14ac:dyDescent="0.3">
      <c r="B93" s="168"/>
      <c r="C93" s="161"/>
      <c r="D93" s="158"/>
      <c r="E93" s="168"/>
      <c r="F93" s="161"/>
      <c r="G93" s="158"/>
      <c r="H93" s="168"/>
      <c r="I93" s="161"/>
      <c r="J93" s="158"/>
      <c r="K93" s="168"/>
      <c r="L93" s="161"/>
    </row>
    <row r="94" spans="2:18" x14ac:dyDescent="0.3">
      <c r="B94" s="168"/>
      <c r="C94" s="161"/>
      <c r="D94" s="158"/>
      <c r="E94" s="168"/>
      <c r="F94" s="161"/>
      <c r="G94" s="158"/>
      <c r="H94" s="168"/>
      <c r="I94" s="161"/>
      <c r="J94" s="158"/>
      <c r="K94" s="168"/>
      <c r="L94" s="161"/>
    </row>
    <row r="95" spans="2:18" s="1" customFormat="1" x14ac:dyDescent="0.3">
      <c r="B95" s="3"/>
      <c r="C95"/>
      <c r="D95"/>
      <c r="E95" s="3"/>
      <c r="F95"/>
      <c r="G95"/>
      <c r="H95" s="3"/>
      <c r="I95"/>
      <c r="J95"/>
      <c r="K95" s="3"/>
      <c r="L95"/>
      <c r="M95"/>
      <c r="N95"/>
      <c r="O95"/>
      <c r="P95"/>
      <c r="R95" s="175"/>
    </row>
    <row r="98" spans="2:16" ht="15.6" x14ac:dyDescent="0.3">
      <c r="B98" s="353" t="s">
        <v>1528</v>
      </c>
      <c r="C98" s="355"/>
      <c r="D98" s="355"/>
      <c r="E98" s="355"/>
      <c r="F98" s="355"/>
      <c r="G98" s="355"/>
      <c r="H98" s="355"/>
      <c r="I98" s="355"/>
      <c r="J98" s="355"/>
      <c r="K98" s="355"/>
      <c r="L98" s="355"/>
      <c r="M98" s="355"/>
      <c r="N98" s="355"/>
      <c r="O98" s="355"/>
      <c r="P98" s="354"/>
    </row>
    <row r="99" spans="2:16" ht="15.6" x14ac:dyDescent="0.3">
      <c r="B99" s="355" t="s">
        <v>1482</v>
      </c>
      <c r="C99" s="355"/>
      <c r="D99" s="355"/>
      <c r="F99" s="355" t="s">
        <v>1483</v>
      </c>
      <c r="G99" s="355"/>
      <c r="H99" s="355"/>
      <c r="J99" s="355" t="s">
        <v>1484</v>
      </c>
      <c r="K99" s="355"/>
      <c r="L99" s="355"/>
      <c r="N99" s="355" t="s">
        <v>1485</v>
      </c>
      <c r="O99" s="355"/>
      <c r="P99" s="355"/>
    </row>
    <row r="100" spans="2:16" x14ac:dyDescent="0.3">
      <c r="B100" s="159" t="s">
        <v>1525</v>
      </c>
      <c r="C100" s="159" t="s">
        <v>1486</v>
      </c>
      <c r="D100" s="159" t="s">
        <v>1487</v>
      </c>
      <c r="E100" s="1"/>
      <c r="F100" s="159" t="s">
        <v>1525</v>
      </c>
      <c r="G100" s="159" t="s">
        <v>1486</v>
      </c>
      <c r="H100" s="159" t="s">
        <v>1487</v>
      </c>
      <c r="I100" s="1"/>
      <c r="J100" s="159" t="s">
        <v>1525</v>
      </c>
      <c r="K100" s="159" t="s">
        <v>1486</v>
      </c>
      <c r="L100" s="159" t="s">
        <v>1487</v>
      </c>
      <c r="M100" s="1"/>
      <c r="N100" s="159" t="s">
        <v>1525</v>
      </c>
      <c r="O100" s="159" t="s">
        <v>1486</v>
      </c>
      <c r="P100" s="159" t="s">
        <v>1487</v>
      </c>
    </row>
    <row r="101" spans="2:16" x14ac:dyDescent="0.3">
      <c r="B101" s="170"/>
      <c r="C101" s="164"/>
      <c r="D101" s="161"/>
      <c r="F101" s="163"/>
      <c r="G101" s="164"/>
      <c r="H101" s="172"/>
      <c r="J101" s="163"/>
      <c r="K101" s="173"/>
      <c r="L101" s="161"/>
      <c r="N101" s="163"/>
      <c r="O101" s="164"/>
      <c r="P101" s="161"/>
    </row>
    <row r="102" spans="2:16" x14ac:dyDescent="0.3">
      <c r="B102" s="170">
        <v>1</v>
      </c>
      <c r="C102" s="164" t="s">
        <v>413</v>
      </c>
      <c r="D102" s="161">
        <v>0.1</v>
      </c>
      <c r="F102" s="163">
        <v>1</v>
      </c>
      <c r="G102" s="164" t="s">
        <v>321</v>
      </c>
      <c r="H102" s="172">
        <v>0.1</v>
      </c>
      <c r="J102" s="163">
        <v>1</v>
      </c>
      <c r="K102" s="173" t="s">
        <v>413</v>
      </c>
      <c r="L102" s="161">
        <v>0.1</v>
      </c>
      <c r="N102" s="163">
        <v>1</v>
      </c>
      <c r="O102" s="164" t="s">
        <v>321</v>
      </c>
      <c r="P102" s="161">
        <v>0.1</v>
      </c>
    </row>
    <row r="103" spans="2:16" x14ac:dyDescent="0.3">
      <c r="B103" s="170">
        <v>2</v>
      </c>
      <c r="C103" s="164" t="s">
        <v>419</v>
      </c>
      <c r="D103" s="161">
        <v>0.2</v>
      </c>
      <c r="F103" s="163">
        <v>2</v>
      </c>
      <c r="G103" s="164" t="s">
        <v>326</v>
      </c>
      <c r="H103" s="172">
        <v>0.3</v>
      </c>
      <c r="J103" s="163">
        <v>2</v>
      </c>
      <c r="K103" s="173" t="s">
        <v>419</v>
      </c>
      <c r="L103" s="161">
        <v>0.2</v>
      </c>
      <c r="N103" s="163">
        <v>2</v>
      </c>
      <c r="O103" s="164" t="s">
        <v>326</v>
      </c>
      <c r="P103" s="161">
        <v>0.3</v>
      </c>
    </row>
    <row r="104" spans="2:16" x14ac:dyDescent="0.3">
      <c r="B104" s="170">
        <v>3</v>
      </c>
      <c r="C104" s="164" t="s">
        <v>427</v>
      </c>
      <c r="D104" s="161">
        <v>0.05</v>
      </c>
      <c r="F104" s="163">
        <v>3</v>
      </c>
      <c r="G104" s="164" t="s">
        <v>331</v>
      </c>
      <c r="H104" s="172">
        <v>0.4</v>
      </c>
      <c r="J104" s="163">
        <v>3</v>
      </c>
      <c r="K104" s="173" t="s">
        <v>427</v>
      </c>
      <c r="L104" s="161">
        <v>0.05</v>
      </c>
      <c r="N104" s="163">
        <v>3</v>
      </c>
      <c r="O104" s="164" t="s">
        <v>331</v>
      </c>
      <c r="P104" s="161">
        <v>0.4</v>
      </c>
    </row>
    <row r="105" spans="2:16" x14ac:dyDescent="0.3">
      <c r="B105" s="170">
        <v>4</v>
      </c>
      <c r="C105" s="164" t="s">
        <v>343</v>
      </c>
      <c r="D105" s="161">
        <v>0.1</v>
      </c>
      <c r="F105" s="163">
        <v>4</v>
      </c>
      <c r="G105" s="164" t="s">
        <v>333</v>
      </c>
      <c r="H105" s="172">
        <v>0.1</v>
      </c>
      <c r="J105" s="163">
        <v>4</v>
      </c>
      <c r="K105" s="173" t="s">
        <v>343</v>
      </c>
      <c r="L105" s="161">
        <v>0.1</v>
      </c>
      <c r="N105" s="163">
        <v>4</v>
      </c>
      <c r="O105" s="164" t="s">
        <v>333</v>
      </c>
      <c r="P105" s="161">
        <v>0.1</v>
      </c>
    </row>
    <row r="106" spans="2:16" x14ac:dyDescent="0.3">
      <c r="B106" s="170">
        <v>5</v>
      </c>
      <c r="C106" s="164" t="s">
        <v>423</v>
      </c>
      <c r="D106" s="161">
        <v>0.3</v>
      </c>
      <c r="F106" s="163">
        <v>5</v>
      </c>
      <c r="G106" s="164" t="s">
        <v>337</v>
      </c>
      <c r="H106" s="172">
        <v>0.25</v>
      </c>
      <c r="J106" s="163">
        <v>5</v>
      </c>
      <c r="K106" s="173" t="s">
        <v>423</v>
      </c>
      <c r="L106" s="161">
        <v>0.3</v>
      </c>
      <c r="N106" s="163">
        <v>5</v>
      </c>
      <c r="O106" s="164" t="s">
        <v>337</v>
      </c>
      <c r="P106" s="161">
        <v>0.25</v>
      </c>
    </row>
    <row r="107" spans="2:16" x14ac:dyDescent="0.3">
      <c r="B107" s="170">
        <v>6</v>
      </c>
      <c r="C107" s="164" t="s">
        <v>431</v>
      </c>
      <c r="D107" s="161">
        <v>0.2</v>
      </c>
      <c r="F107" s="163">
        <v>6</v>
      </c>
      <c r="G107" s="164" t="s">
        <v>339</v>
      </c>
      <c r="H107" s="172">
        <v>0.4</v>
      </c>
      <c r="J107" s="163">
        <v>6</v>
      </c>
      <c r="K107" s="173" t="s">
        <v>431</v>
      </c>
      <c r="L107" s="161">
        <v>0.2</v>
      </c>
      <c r="N107" s="163">
        <v>6</v>
      </c>
      <c r="O107" s="164" t="s">
        <v>339</v>
      </c>
      <c r="P107" s="161">
        <v>0.4</v>
      </c>
    </row>
    <row r="108" spans="2:16" x14ac:dyDescent="0.3">
      <c r="B108" s="170">
        <v>7</v>
      </c>
      <c r="C108" s="164" t="s">
        <v>433</v>
      </c>
      <c r="D108" s="161">
        <v>0.3</v>
      </c>
      <c r="F108" s="163">
        <v>7</v>
      </c>
      <c r="G108" s="164" t="s">
        <v>341</v>
      </c>
      <c r="H108" s="172">
        <v>0.5</v>
      </c>
      <c r="J108" s="163">
        <v>7</v>
      </c>
      <c r="K108" s="173" t="s">
        <v>433</v>
      </c>
      <c r="L108" s="161">
        <v>0.3</v>
      </c>
      <c r="N108" s="163">
        <v>7</v>
      </c>
      <c r="O108" s="164" t="s">
        <v>341</v>
      </c>
      <c r="P108" s="161">
        <v>0.5</v>
      </c>
    </row>
    <row r="109" spans="2:16" x14ac:dyDescent="0.3">
      <c r="B109" s="170"/>
      <c r="C109" s="164"/>
      <c r="D109" s="161"/>
      <c r="F109" s="163">
        <v>8</v>
      </c>
      <c r="G109" s="164" t="s">
        <v>1526</v>
      </c>
      <c r="H109" s="172">
        <v>0.05</v>
      </c>
      <c r="J109" s="163">
        <v>8</v>
      </c>
      <c r="K109" s="173" t="s">
        <v>321</v>
      </c>
      <c r="L109" s="161">
        <v>0.1</v>
      </c>
      <c r="N109" s="163">
        <v>8</v>
      </c>
      <c r="O109" s="164" t="s">
        <v>1526</v>
      </c>
      <c r="P109" s="161">
        <v>0.05</v>
      </c>
    </row>
    <row r="110" spans="2:16" x14ac:dyDescent="0.3">
      <c r="B110" s="170"/>
      <c r="C110" s="164"/>
      <c r="D110" s="161"/>
      <c r="F110" s="163">
        <v>9</v>
      </c>
      <c r="G110" s="164" t="s">
        <v>349</v>
      </c>
      <c r="H110" s="172">
        <v>0.1</v>
      </c>
      <c r="J110" s="163">
        <v>9</v>
      </c>
      <c r="K110" s="173" t="s">
        <v>326</v>
      </c>
      <c r="L110" s="161">
        <v>0.3</v>
      </c>
      <c r="N110" s="163">
        <v>9</v>
      </c>
      <c r="O110" s="164" t="s">
        <v>349</v>
      </c>
      <c r="P110" s="161">
        <v>0.1</v>
      </c>
    </row>
    <row r="111" spans="2:16" x14ac:dyDescent="0.3">
      <c r="B111" s="170"/>
      <c r="C111" s="164"/>
      <c r="D111" s="161"/>
      <c r="F111" s="163">
        <v>10</v>
      </c>
      <c r="G111" s="164" t="s">
        <v>351</v>
      </c>
      <c r="H111" s="172">
        <v>0.125</v>
      </c>
      <c r="J111" s="163">
        <v>10</v>
      </c>
      <c r="K111" s="173" t="s">
        <v>331</v>
      </c>
      <c r="L111" s="161">
        <v>0.4</v>
      </c>
      <c r="N111" s="163">
        <v>10</v>
      </c>
      <c r="O111" s="164" t="s">
        <v>351</v>
      </c>
      <c r="P111" s="161">
        <v>0.125</v>
      </c>
    </row>
    <row r="112" spans="2:16" x14ac:dyDescent="0.3">
      <c r="B112" s="170"/>
      <c r="C112" s="164"/>
      <c r="D112" s="161"/>
      <c r="F112" s="163">
        <v>11</v>
      </c>
      <c r="G112" s="164" t="s">
        <v>353</v>
      </c>
      <c r="H112" s="172">
        <v>0.3</v>
      </c>
      <c r="J112" s="163">
        <v>11</v>
      </c>
      <c r="K112" s="173" t="s">
        <v>333</v>
      </c>
      <c r="L112" s="161">
        <v>0.1</v>
      </c>
      <c r="N112" s="163">
        <v>11</v>
      </c>
      <c r="O112" s="164" t="s">
        <v>353</v>
      </c>
      <c r="P112" s="161">
        <v>0.3</v>
      </c>
    </row>
    <row r="113" spans="2:16" x14ac:dyDescent="0.3">
      <c r="B113" s="170"/>
      <c r="C113" s="164"/>
      <c r="D113" s="161"/>
      <c r="F113" s="163">
        <v>12</v>
      </c>
      <c r="G113" s="164" t="s">
        <v>1527</v>
      </c>
      <c r="H113" s="172">
        <v>0.5</v>
      </c>
      <c r="J113" s="163">
        <v>12</v>
      </c>
      <c r="K113" s="173" t="s">
        <v>337</v>
      </c>
      <c r="L113" s="161">
        <v>0.25</v>
      </c>
      <c r="N113" s="163">
        <v>12</v>
      </c>
      <c r="O113" s="164" t="s">
        <v>1527</v>
      </c>
      <c r="P113" s="161">
        <v>0.5</v>
      </c>
    </row>
    <row r="114" spans="2:16" x14ac:dyDescent="0.3">
      <c r="B114" s="170"/>
      <c r="C114" s="164"/>
      <c r="D114" s="161"/>
      <c r="F114" s="163">
        <v>13</v>
      </c>
      <c r="G114" s="164" t="s">
        <v>358</v>
      </c>
      <c r="H114" s="172">
        <v>0.1</v>
      </c>
      <c r="J114" s="163">
        <v>13</v>
      </c>
      <c r="K114" s="173" t="s">
        <v>339</v>
      </c>
      <c r="L114" s="161">
        <v>0.4</v>
      </c>
      <c r="N114" s="163">
        <v>13</v>
      </c>
      <c r="O114" s="164" t="s">
        <v>358</v>
      </c>
      <c r="P114" s="161">
        <v>0.1</v>
      </c>
    </row>
    <row r="115" spans="2:16" x14ac:dyDescent="0.3">
      <c r="B115" s="170"/>
      <c r="C115" s="164"/>
      <c r="D115" s="161"/>
      <c r="F115" s="163">
        <v>14</v>
      </c>
      <c r="G115" s="164" t="s">
        <v>362</v>
      </c>
      <c r="H115" s="172">
        <v>0.15</v>
      </c>
      <c r="J115" s="163">
        <v>14</v>
      </c>
      <c r="K115" s="173" t="s">
        <v>341</v>
      </c>
      <c r="L115" s="161">
        <v>0.5</v>
      </c>
      <c r="N115" s="163">
        <v>14</v>
      </c>
      <c r="O115" s="164" t="s">
        <v>362</v>
      </c>
      <c r="P115" s="161">
        <v>0.15</v>
      </c>
    </row>
    <row r="116" spans="2:16" x14ac:dyDescent="0.3">
      <c r="B116" s="170"/>
      <c r="C116" s="164"/>
      <c r="D116" s="161"/>
      <c r="F116" s="163">
        <v>15</v>
      </c>
      <c r="G116" s="164" t="s">
        <v>370</v>
      </c>
      <c r="H116" s="172">
        <v>0.25</v>
      </c>
      <c r="J116" s="163">
        <v>15</v>
      </c>
      <c r="K116" s="173" t="s">
        <v>1526</v>
      </c>
      <c r="L116" s="161">
        <v>0.05</v>
      </c>
      <c r="N116" s="163">
        <v>15</v>
      </c>
      <c r="O116" s="164" t="s">
        <v>370</v>
      </c>
      <c r="P116" s="161">
        <v>0.25</v>
      </c>
    </row>
    <row r="117" spans="2:16" x14ac:dyDescent="0.3">
      <c r="B117" s="170"/>
      <c r="C117" s="164"/>
      <c r="D117" s="161"/>
      <c r="F117" s="163">
        <v>16</v>
      </c>
      <c r="G117" s="164" t="s">
        <v>372</v>
      </c>
      <c r="H117" s="172">
        <v>0.25</v>
      </c>
      <c r="J117" s="163">
        <v>16</v>
      </c>
      <c r="K117" s="173" t="s">
        <v>349</v>
      </c>
      <c r="L117" s="161">
        <v>0.1</v>
      </c>
      <c r="N117" s="163">
        <v>16</v>
      </c>
      <c r="O117" s="164" t="s">
        <v>372</v>
      </c>
      <c r="P117" s="161">
        <v>0.25</v>
      </c>
    </row>
    <row r="118" spans="2:16" x14ac:dyDescent="0.3">
      <c r="B118" s="170"/>
      <c r="C118" s="164"/>
      <c r="D118" s="161"/>
      <c r="F118" s="163">
        <v>17</v>
      </c>
      <c r="G118" s="164" t="s">
        <v>374</v>
      </c>
      <c r="H118" s="172">
        <v>0.35</v>
      </c>
      <c r="J118" s="163">
        <v>17</v>
      </c>
      <c r="K118" s="173" t="s">
        <v>351</v>
      </c>
      <c r="L118" s="161">
        <v>0.125</v>
      </c>
      <c r="N118" s="163">
        <v>17</v>
      </c>
      <c r="O118" s="164" t="s">
        <v>374</v>
      </c>
      <c r="P118" s="161">
        <v>0.35</v>
      </c>
    </row>
    <row r="119" spans="2:16" x14ac:dyDescent="0.3">
      <c r="B119" s="170"/>
      <c r="C119" s="164"/>
      <c r="D119" s="161"/>
      <c r="F119" s="163">
        <v>18</v>
      </c>
      <c r="G119" s="164" t="s">
        <v>572</v>
      </c>
      <c r="H119" s="172">
        <v>0.6</v>
      </c>
      <c r="J119" s="163">
        <v>18</v>
      </c>
      <c r="K119" s="173" t="s">
        <v>353</v>
      </c>
      <c r="L119" s="161">
        <v>0.3</v>
      </c>
      <c r="N119" s="163">
        <v>18</v>
      </c>
      <c r="O119" s="164" t="s">
        <v>572</v>
      </c>
      <c r="P119" s="161">
        <v>0.6</v>
      </c>
    </row>
    <row r="120" spans="2:16" x14ac:dyDescent="0.3">
      <c r="B120" s="170"/>
      <c r="C120" s="164"/>
      <c r="D120" s="161"/>
      <c r="F120" s="163">
        <v>19</v>
      </c>
      <c r="G120" s="164" t="s">
        <v>384</v>
      </c>
      <c r="H120" s="172">
        <v>0.15</v>
      </c>
      <c r="J120" s="163">
        <v>19</v>
      </c>
      <c r="K120" s="173" t="s">
        <v>1527</v>
      </c>
      <c r="L120" s="161">
        <v>0.5</v>
      </c>
      <c r="N120" s="163">
        <v>19</v>
      </c>
      <c r="O120" s="164" t="s">
        <v>384</v>
      </c>
      <c r="P120" s="161">
        <v>0.15</v>
      </c>
    </row>
    <row r="121" spans="2:16" x14ac:dyDescent="0.3">
      <c r="B121" s="170"/>
      <c r="C121" s="164"/>
      <c r="D121" s="161"/>
      <c r="F121" s="163">
        <v>20</v>
      </c>
      <c r="G121" s="164" t="s">
        <v>382</v>
      </c>
      <c r="H121" s="172">
        <v>0.25</v>
      </c>
      <c r="J121" s="163">
        <v>20</v>
      </c>
      <c r="K121" s="173" t="s">
        <v>358</v>
      </c>
      <c r="L121" s="161">
        <v>0.1</v>
      </c>
      <c r="N121" s="163">
        <v>20</v>
      </c>
      <c r="O121" s="164" t="s">
        <v>382</v>
      </c>
      <c r="P121" s="161">
        <v>0.25</v>
      </c>
    </row>
    <row r="122" spans="2:16" x14ac:dyDescent="0.3">
      <c r="B122" s="170"/>
      <c r="C122" s="164"/>
      <c r="D122" s="161"/>
      <c r="F122" s="163">
        <v>21</v>
      </c>
      <c r="G122" s="164" t="s">
        <v>574</v>
      </c>
      <c r="H122" s="172">
        <v>0.27500000000000002</v>
      </c>
      <c r="J122" s="163">
        <v>21</v>
      </c>
      <c r="K122" s="173" t="s">
        <v>362</v>
      </c>
      <c r="L122" s="161">
        <v>0.15</v>
      </c>
      <c r="N122" s="163">
        <v>21</v>
      </c>
      <c r="O122" s="164" t="s">
        <v>574</v>
      </c>
      <c r="P122" s="161">
        <v>0.27500000000000002</v>
      </c>
    </row>
    <row r="123" spans="2:16" x14ac:dyDescent="0.3">
      <c r="B123" s="170"/>
      <c r="C123" s="164"/>
      <c r="D123" s="161"/>
      <c r="F123" s="163">
        <v>22</v>
      </c>
      <c r="G123" s="164" t="s">
        <v>392</v>
      </c>
      <c r="H123" s="172">
        <v>0.3</v>
      </c>
      <c r="J123" s="163">
        <v>22</v>
      </c>
      <c r="K123" s="173" t="s">
        <v>370</v>
      </c>
      <c r="L123" s="161">
        <v>0.25</v>
      </c>
      <c r="N123" s="163">
        <v>22</v>
      </c>
      <c r="O123" s="164" t="s">
        <v>392</v>
      </c>
      <c r="P123" s="161">
        <v>0.3</v>
      </c>
    </row>
    <row r="124" spans="2:16" x14ac:dyDescent="0.3">
      <c r="B124" s="170"/>
      <c r="C124" s="164"/>
      <c r="D124" s="161"/>
      <c r="F124" s="163">
        <v>23</v>
      </c>
      <c r="G124" s="164" t="s">
        <v>396</v>
      </c>
      <c r="H124" s="172">
        <v>0.55000000000000004</v>
      </c>
      <c r="J124" s="163">
        <v>23</v>
      </c>
      <c r="K124" s="173" t="s">
        <v>372</v>
      </c>
      <c r="L124" s="161">
        <v>0.25</v>
      </c>
      <c r="N124" s="163">
        <v>23</v>
      </c>
      <c r="O124" s="164" t="s">
        <v>396</v>
      </c>
      <c r="P124" s="161">
        <v>0.55000000000000004</v>
      </c>
    </row>
    <row r="125" spans="2:16" x14ac:dyDescent="0.3">
      <c r="B125" s="170"/>
      <c r="C125" s="164"/>
      <c r="D125" s="161"/>
      <c r="F125" s="163">
        <v>24</v>
      </c>
      <c r="G125" s="164" t="s">
        <v>398</v>
      </c>
      <c r="H125" s="172">
        <v>1</v>
      </c>
      <c r="J125" s="163">
        <v>24</v>
      </c>
      <c r="K125" s="173" t="s">
        <v>374</v>
      </c>
      <c r="L125" s="161">
        <v>0.35</v>
      </c>
      <c r="N125" s="163">
        <v>24</v>
      </c>
      <c r="O125" s="164" t="s">
        <v>398</v>
      </c>
      <c r="P125" s="161">
        <v>1</v>
      </c>
    </row>
    <row r="126" spans="2:16" x14ac:dyDescent="0.3">
      <c r="B126" s="170"/>
      <c r="C126" s="164"/>
      <c r="D126" s="161"/>
      <c r="F126" s="163"/>
      <c r="G126" s="164"/>
      <c r="H126" s="172"/>
      <c r="J126" s="163">
        <v>25</v>
      </c>
      <c r="K126" s="173" t="s">
        <v>572</v>
      </c>
      <c r="L126" s="161">
        <v>0.6</v>
      </c>
      <c r="N126" s="163"/>
      <c r="O126" s="164"/>
      <c r="P126" s="161"/>
    </row>
    <row r="127" spans="2:16" x14ac:dyDescent="0.3">
      <c r="B127" s="170"/>
      <c r="C127" s="164"/>
      <c r="D127" s="161"/>
      <c r="F127" s="163"/>
      <c r="G127" s="164"/>
      <c r="H127" s="172"/>
      <c r="J127" s="163">
        <v>26</v>
      </c>
      <c r="K127" s="173" t="s">
        <v>384</v>
      </c>
      <c r="L127" s="161">
        <v>0.15</v>
      </c>
      <c r="N127" s="163"/>
      <c r="O127" s="164"/>
      <c r="P127" s="161"/>
    </row>
    <row r="128" spans="2:16" x14ac:dyDescent="0.3">
      <c r="B128" s="170"/>
      <c r="C128" s="164"/>
      <c r="D128" s="161"/>
      <c r="F128" s="163"/>
      <c r="G128" s="164"/>
      <c r="H128" s="172"/>
      <c r="J128" s="163">
        <v>27</v>
      </c>
      <c r="K128" s="173" t="s">
        <v>382</v>
      </c>
      <c r="L128" s="161">
        <v>0.25</v>
      </c>
      <c r="N128" s="163" t="str">
        <f t="shared" ref="N128:N140" si="0">IF(F128="","",F128)</f>
        <v/>
      </c>
      <c r="O128" s="164" t="str">
        <f t="shared" ref="O128:O140" si="1">IF(G128="","",G128)</f>
        <v/>
      </c>
      <c r="P128" s="161" t="str">
        <f t="shared" ref="P128:P140" si="2">IF(H128="","",H128)</f>
        <v/>
      </c>
    </row>
    <row r="129" spans="2:18" x14ac:dyDescent="0.3">
      <c r="B129" s="170"/>
      <c r="C129" s="164"/>
      <c r="D129" s="161"/>
      <c r="F129" s="163"/>
      <c r="G129" s="164"/>
      <c r="H129" s="172"/>
      <c r="J129" s="163">
        <v>28</v>
      </c>
      <c r="K129" s="173" t="s">
        <v>574</v>
      </c>
      <c r="L129" s="161">
        <v>0.27500000000000002</v>
      </c>
      <c r="N129" s="163" t="str">
        <f t="shared" si="0"/>
        <v/>
      </c>
      <c r="O129" s="164" t="str">
        <f t="shared" si="1"/>
        <v/>
      </c>
      <c r="P129" s="161" t="str">
        <f t="shared" si="2"/>
        <v/>
      </c>
    </row>
    <row r="130" spans="2:18" x14ac:dyDescent="0.3">
      <c r="B130" s="170"/>
      <c r="C130" s="164"/>
      <c r="D130" s="161"/>
      <c r="F130" s="163"/>
      <c r="G130" s="164"/>
      <c r="H130" s="172"/>
      <c r="J130" s="163">
        <v>29</v>
      </c>
      <c r="K130" s="173" t="s">
        <v>392</v>
      </c>
      <c r="L130" s="161">
        <v>0.3</v>
      </c>
      <c r="N130" s="163" t="str">
        <f t="shared" si="0"/>
        <v/>
      </c>
      <c r="O130" s="164" t="str">
        <f t="shared" si="1"/>
        <v/>
      </c>
      <c r="P130" s="161" t="str">
        <f t="shared" si="2"/>
        <v/>
      </c>
    </row>
    <row r="131" spans="2:18" x14ac:dyDescent="0.3">
      <c r="B131" s="170"/>
      <c r="C131" s="164"/>
      <c r="D131" s="161"/>
      <c r="F131" s="163"/>
      <c r="G131" s="164"/>
      <c r="H131" s="172"/>
      <c r="J131" s="163">
        <v>30</v>
      </c>
      <c r="K131" s="173" t="s">
        <v>396</v>
      </c>
      <c r="L131" s="161">
        <v>0.55000000000000004</v>
      </c>
      <c r="N131" s="163" t="str">
        <f t="shared" si="0"/>
        <v/>
      </c>
      <c r="O131" s="164" t="str">
        <f t="shared" si="1"/>
        <v/>
      </c>
      <c r="P131" s="161" t="str">
        <f t="shared" si="2"/>
        <v/>
      </c>
    </row>
    <row r="132" spans="2:18" x14ac:dyDescent="0.3">
      <c r="B132" s="170"/>
      <c r="C132" s="164"/>
      <c r="D132" s="161"/>
      <c r="F132" s="163"/>
      <c r="G132" s="164"/>
      <c r="H132" s="172"/>
      <c r="J132" s="163">
        <v>31</v>
      </c>
      <c r="K132" s="173" t="s">
        <v>398</v>
      </c>
      <c r="L132" s="161">
        <v>1</v>
      </c>
      <c r="N132" s="163" t="str">
        <f t="shared" si="0"/>
        <v/>
      </c>
      <c r="O132" s="164" t="str">
        <f t="shared" si="1"/>
        <v/>
      </c>
      <c r="P132" s="161" t="str">
        <f t="shared" si="2"/>
        <v/>
      </c>
    </row>
    <row r="133" spans="2:18" x14ac:dyDescent="0.3">
      <c r="B133" s="170"/>
      <c r="C133" s="164"/>
      <c r="D133" s="161"/>
      <c r="F133" s="163"/>
      <c r="G133" s="164"/>
      <c r="H133" s="172"/>
      <c r="J133" s="163"/>
      <c r="K133" s="173"/>
      <c r="L133" s="161"/>
      <c r="N133" s="163" t="str">
        <f t="shared" si="0"/>
        <v/>
      </c>
      <c r="O133" s="164" t="str">
        <f t="shared" si="1"/>
        <v/>
      </c>
      <c r="P133" s="161" t="str">
        <f t="shared" si="2"/>
        <v/>
      </c>
    </row>
    <row r="134" spans="2:18" x14ac:dyDescent="0.3">
      <c r="B134" s="170"/>
      <c r="C134" s="164"/>
      <c r="D134" s="161"/>
      <c r="F134" s="163"/>
      <c r="G134" s="164"/>
      <c r="H134" s="172"/>
      <c r="J134" s="163"/>
      <c r="K134" s="173"/>
      <c r="L134" s="161"/>
      <c r="N134" s="163" t="str">
        <f t="shared" si="0"/>
        <v/>
      </c>
      <c r="O134" s="164" t="str">
        <f t="shared" si="1"/>
        <v/>
      </c>
      <c r="P134" s="161" t="str">
        <f t="shared" si="2"/>
        <v/>
      </c>
    </row>
    <row r="135" spans="2:18" x14ac:dyDescent="0.3">
      <c r="B135" s="170"/>
      <c r="C135" s="164"/>
      <c r="D135" s="161"/>
      <c r="F135" s="163"/>
      <c r="G135" s="164"/>
      <c r="H135" s="172"/>
      <c r="J135" s="163"/>
      <c r="K135" s="173"/>
      <c r="L135" s="161"/>
      <c r="N135" s="163" t="str">
        <f t="shared" si="0"/>
        <v/>
      </c>
      <c r="O135" s="164" t="str">
        <f t="shared" si="1"/>
        <v/>
      </c>
      <c r="P135" s="161" t="str">
        <f t="shared" si="2"/>
        <v/>
      </c>
    </row>
    <row r="136" spans="2:18" x14ac:dyDescent="0.3">
      <c r="B136" s="170"/>
      <c r="C136" s="164"/>
      <c r="D136" s="161"/>
      <c r="F136" s="163"/>
      <c r="G136" s="164"/>
      <c r="H136" s="172"/>
      <c r="J136" s="163"/>
      <c r="K136" s="173"/>
      <c r="L136" s="161"/>
      <c r="N136" s="163" t="str">
        <f t="shared" si="0"/>
        <v/>
      </c>
      <c r="O136" s="164" t="str">
        <f t="shared" si="1"/>
        <v/>
      </c>
      <c r="P136" s="161" t="str">
        <f t="shared" si="2"/>
        <v/>
      </c>
    </row>
    <row r="137" spans="2:18" x14ac:dyDescent="0.3">
      <c r="B137" s="170"/>
      <c r="C137" s="164"/>
      <c r="D137" s="161"/>
      <c r="F137" s="163"/>
      <c r="G137" s="164"/>
      <c r="H137" s="172"/>
      <c r="J137" s="163"/>
      <c r="K137" s="173"/>
      <c r="L137" s="161"/>
      <c r="N137" s="163" t="str">
        <f t="shared" si="0"/>
        <v/>
      </c>
      <c r="O137" s="164" t="str">
        <f t="shared" si="1"/>
        <v/>
      </c>
      <c r="P137" s="161" t="str">
        <f t="shared" si="2"/>
        <v/>
      </c>
    </row>
    <row r="138" spans="2:18" x14ac:dyDescent="0.3">
      <c r="B138" s="170"/>
      <c r="C138" s="164"/>
      <c r="D138" s="161"/>
      <c r="F138" s="163"/>
      <c r="G138" s="164"/>
      <c r="H138" s="172"/>
      <c r="J138" s="163"/>
      <c r="K138" s="173"/>
      <c r="L138" s="161"/>
      <c r="N138" s="163" t="str">
        <f t="shared" si="0"/>
        <v/>
      </c>
      <c r="O138" s="164" t="str">
        <f t="shared" si="1"/>
        <v/>
      </c>
      <c r="P138" s="161" t="str">
        <f t="shared" si="2"/>
        <v/>
      </c>
    </row>
    <row r="139" spans="2:18" x14ac:dyDescent="0.3">
      <c r="B139" s="170"/>
      <c r="C139" s="164"/>
      <c r="D139" s="161"/>
      <c r="F139" s="163"/>
      <c r="G139" s="164"/>
      <c r="H139" s="172"/>
      <c r="J139" s="163"/>
      <c r="K139" s="173"/>
      <c r="L139" s="161"/>
      <c r="N139" s="163" t="str">
        <f t="shared" si="0"/>
        <v/>
      </c>
      <c r="O139" s="164" t="str">
        <f t="shared" si="1"/>
        <v/>
      </c>
      <c r="P139" s="161" t="str">
        <f t="shared" si="2"/>
        <v/>
      </c>
    </row>
    <row r="140" spans="2:18" x14ac:dyDescent="0.3">
      <c r="B140" s="170"/>
      <c r="C140" s="164"/>
      <c r="D140" s="161"/>
      <c r="F140" s="163"/>
      <c r="G140" s="164"/>
      <c r="H140" s="172"/>
      <c r="J140" s="163"/>
      <c r="K140" s="173"/>
      <c r="L140" s="161"/>
      <c r="N140" s="163" t="str">
        <f t="shared" si="0"/>
        <v/>
      </c>
      <c r="O140" s="164" t="str">
        <f t="shared" si="1"/>
        <v/>
      </c>
      <c r="P140" s="161" t="str">
        <f t="shared" si="2"/>
        <v/>
      </c>
    </row>
    <row r="141" spans="2:18" s="1" customFormat="1" x14ac:dyDescent="0.3">
      <c r="B141" s="3"/>
      <c r="C141"/>
      <c r="D141"/>
      <c r="E141" s="3"/>
      <c r="F141"/>
      <c r="G141"/>
      <c r="H141" s="3"/>
      <c r="I141"/>
      <c r="J141"/>
      <c r="K141" s="3"/>
      <c r="L141"/>
      <c r="M141"/>
      <c r="N141"/>
      <c r="O141"/>
      <c r="P141"/>
      <c r="R141" s="175"/>
    </row>
    <row r="144" spans="2:18" ht="15.6" x14ac:dyDescent="0.3">
      <c r="B144" s="353" t="s">
        <v>1531</v>
      </c>
      <c r="C144" s="355"/>
      <c r="D144" s="355"/>
      <c r="E144" s="355"/>
      <c r="F144" s="355"/>
      <c r="G144" s="355"/>
      <c r="H144" s="355"/>
      <c r="I144" s="355"/>
      <c r="J144" s="355"/>
      <c r="K144" s="355"/>
      <c r="L144" s="355"/>
      <c r="M144" s="355"/>
      <c r="N144" s="355"/>
      <c r="O144" s="355"/>
      <c r="P144" s="354"/>
    </row>
    <row r="145" spans="2:16" ht="15.6" x14ac:dyDescent="0.3">
      <c r="B145" s="355" t="s">
        <v>1482</v>
      </c>
      <c r="C145" s="355"/>
      <c r="D145" s="355"/>
      <c r="F145" s="355" t="s">
        <v>1483</v>
      </c>
      <c r="G145" s="355"/>
      <c r="H145" s="355"/>
      <c r="J145" s="355" t="s">
        <v>1484</v>
      </c>
      <c r="K145" s="355"/>
      <c r="L145" s="355"/>
      <c r="N145" s="355" t="s">
        <v>1485</v>
      </c>
      <c r="O145" s="355"/>
      <c r="P145" s="355"/>
    </row>
    <row r="146" spans="2:16" x14ac:dyDescent="0.3">
      <c r="B146" s="159" t="s">
        <v>1525</v>
      </c>
      <c r="C146" s="159" t="s">
        <v>1486</v>
      </c>
      <c r="D146" s="159" t="s">
        <v>1487</v>
      </c>
      <c r="E146" s="1"/>
      <c r="F146" s="159" t="s">
        <v>1525</v>
      </c>
      <c r="G146" s="159" t="s">
        <v>1486</v>
      </c>
      <c r="H146" s="159" t="s">
        <v>1487</v>
      </c>
      <c r="I146" s="1"/>
      <c r="J146" s="159" t="s">
        <v>1525</v>
      </c>
      <c r="K146" s="159" t="s">
        <v>1486</v>
      </c>
      <c r="L146" s="159" t="s">
        <v>1487</v>
      </c>
      <c r="M146" s="1"/>
      <c r="N146" s="159" t="s">
        <v>1525</v>
      </c>
      <c r="O146" s="159" t="s">
        <v>1486</v>
      </c>
      <c r="P146" s="159" t="s">
        <v>1487</v>
      </c>
    </row>
    <row r="147" spans="2:16" x14ac:dyDescent="0.3">
      <c r="B147" s="170"/>
      <c r="C147" s="164"/>
      <c r="D147" s="161"/>
      <c r="F147" s="163"/>
      <c r="G147" s="164"/>
      <c r="H147" s="172"/>
      <c r="J147" s="163"/>
      <c r="K147" s="173"/>
      <c r="L147" s="161"/>
      <c r="N147" s="163"/>
      <c r="O147" s="164"/>
      <c r="P147" s="161"/>
    </row>
    <row r="148" spans="2:16" x14ac:dyDescent="0.3">
      <c r="B148" s="170">
        <v>1</v>
      </c>
      <c r="C148" s="164" t="s">
        <v>414</v>
      </c>
      <c r="D148" s="161">
        <v>0.05</v>
      </c>
      <c r="F148" s="163">
        <v>1</v>
      </c>
      <c r="G148" s="164" t="s">
        <v>322</v>
      </c>
      <c r="H148" s="208">
        <v>0.05</v>
      </c>
      <c r="J148" s="163">
        <v>1</v>
      </c>
      <c r="K148" s="173" t="s">
        <v>414</v>
      </c>
      <c r="L148" s="161">
        <v>0.05</v>
      </c>
      <c r="M148" s="249"/>
      <c r="N148" s="163">
        <v>1</v>
      </c>
      <c r="O148" s="164" t="s">
        <v>322</v>
      </c>
      <c r="P148" s="161">
        <v>0.05</v>
      </c>
    </row>
    <row r="149" spans="2:16" x14ac:dyDescent="0.3">
      <c r="B149" s="170">
        <v>2</v>
      </c>
      <c r="C149" s="164" t="s">
        <v>420</v>
      </c>
      <c r="D149" s="161">
        <v>0.1</v>
      </c>
      <c r="F149" s="163">
        <v>2</v>
      </c>
      <c r="G149" s="164" t="s">
        <v>328</v>
      </c>
      <c r="H149" s="208">
        <v>0.1</v>
      </c>
      <c r="J149" s="163">
        <v>2</v>
      </c>
      <c r="K149" s="173" t="s">
        <v>420</v>
      </c>
      <c r="L149" s="161">
        <v>0.1</v>
      </c>
      <c r="M149" s="249"/>
      <c r="N149" s="163">
        <v>2</v>
      </c>
      <c r="O149" s="164" t="s">
        <v>328</v>
      </c>
      <c r="P149" s="161">
        <v>0.1</v>
      </c>
    </row>
    <row r="150" spans="2:16" x14ac:dyDescent="0.3">
      <c r="B150" s="170">
        <v>3</v>
      </c>
      <c r="C150" s="164" t="s">
        <v>428</v>
      </c>
      <c r="D150" s="161">
        <v>2.5000000000000001E-2</v>
      </c>
      <c r="F150" s="163">
        <v>3</v>
      </c>
      <c r="G150" s="164" t="s">
        <v>332</v>
      </c>
      <c r="H150" s="208">
        <v>0.2</v>
      </c>
      <c r="J150" s="163">
        <v>3</v>
      </c>
      <c r="K150" s="173" t="s">
        <v>428</v>
      </c>
      <c r="L150" s="161">
        <v>2.5000000000000001E-2</v>
      </c>
      <c r="M150" s="249"/>
      <c r="N150" s="163">
        <v>3</v>
      </c>
      <c r="O150" s="164" t="s">
        <v>332</v>
      </c>
      <c r="P150" s="161">
        <v>0.2</v>
      </c>
    </row>
    <row r="151" spans="2:16" x14ac:dyDescent="0.3">
      <c r="B151" s="170">
        <v>4</v>
      </c>
      <c r="C151" s="164" t="s">
        <v>344</v>
      </c>
      <c r="D151" s="161">
        <v>0.05</v>
      </c>
      <c r="F151" s="163">
        <v>4</v>
      </c>
      <c r="G151" s="164" t="s">
        <v>334</v>
      </c>
      <c r="H151" s="208">
        <v>0.05</v>
      </c>
      <c r="J151" s="163">
        <v>4</v>
      </c>
      <c r="K151" s="173" t="s">
        <v>344</v>
      </c>
      <c r="L151" s="161">
        <v>0.05</v>
      </c>
      <c r="M151" s="249"/>
      <c r="N151" s="163">
        <v>4</v>
      </c>
      <c r="O151" s="164" t="s">
        <v>334</v>
      </c>
      <c r="P151" s="161">
        <v>0.05</v>
      </c>
    </row>
    <row r="152" spans="2:16" x14ac:dyDescent="0.3">
      <c r="B152" s="170">
        <v>5</v>
      </c>
      <c r="C152" s="164" t="s">
        <v>424</v>
      </c>
      <c r="D152" s="161">
        <v>0.15</v>
      </c>
      <c r="F152" s="163">
        <v>5</v>
      </c>
      <c r="G152" s="164" t="s">
        <v>338</v>
      </c>
      <c r="H152" s="208">
        <v>0.1</v>
      </c>
      <c r="J152" s="163">
        <v>5</v>
      </c>
      <c r="K152" s="173" t="s">
        <v>424</v>
      </c>
      <c r="L152" s="161">
        <v>0.15</v>
      </c>
      <c r="M152" s="249"/>
      <c r="N152" s="163">
        <v>5</v>
      </c>
      <c r="O152" s="164" t="s">
        <v>338</v>
      </c>
      <c r="P152" s="161">
        <v>0.1</v>
      </c>
    </row>
    <row r="153" spans="2:16" x14ac:dyDescent="0.3">
      <c r="B153" s="170">
        <v>6</v>
      </c>
      <c r="C153" s="164" t="s">
        <v>432</v>
      </c>
      <c r="D153" s="161">
        <v>0.1</v>
      </c>
      <c r="F153" s="163">
        <v>6</v>
      </c>
      <c r="G153" s="164" t="s">
        <v>340</v>
      </c>
      <c r="H153" s="208">
        <v>0.2</v>
      </c>
      <c r="J153" s="163">
        <v>6</v>
      </c>
      <c r="K153" s="173" t="s">
        <v>432</v>
      </c>
      <c r="L153" s="161">
        <v>0.1</v>
      </c>
      <c r="M153" s="249"/>
      <c r="N153" s="163">
        <v>6</v>
      </c>
      <c r="O153" s="164" t="s">
        <v>340</v>
      </c>
      <c r="P153" s="161">
        <v>0.2</v>
      </c>
    </row>
    <row r="154" spans="2:16" x14ac:dyDescent="0.3">
      <c r="B154" s="170">
        <v>7</v>
      </c>
      <c r="C154" s="164" t="s">
        <v>434</v>
      </c>
      <c r="D154" s="161">
        <v>0.15</v>
      </c>
      <c r="F154" s="163">
        <v>7</v>
      </c>
      <c r="G154" s="164" t="s">
        <v>342</v>
      </c>
      <c r="H154" s="208">
        <v>0.25</v>
      </c>
      <c r="J154" s="163">
        <v>7</v>
      </c>
      <c r="K154" s="173" t="s">
        <v>434</v>
      </c>
      <c r="L154" s="161">
        <v>0.15</v>
      </c>
      <c r="M154" s="249"/>
      <c r="N154" s="163">
        <v>7</v>
      </c>
      <c r="O154" s="164" t="s">
        <v>342</v>
      </c>
      <c r="P154" s="161">
        <v>0.25</v>
      </c>
    </row>
    <row r="155" spans="2:16" x14ac:dyDescent="0.3">
      <c r="B155" s="170"/>
      <c r="C155" s="164"/>
      <c r="D155" s="161"/>
      <c r="F155" s="163">
        <v>8</v>
      </c>
      <c r="G155" s="164" t="s">
        <v>1529</v>
      </c>
      <c r="H155" s="208">
        <v>2.5000000000000001E-2</v>
      </c>
      <c r="J155" s="163">
        <v>8</v>
      </c>
      <c r="K155" s="173" t="s">
        <v>322</v>
      </c>
      <c r="L155" s="161">
        <v>0.05</v>
      </c>
      <c r="M155" s="249"/>
      <c r="N155" s="163">
        <v>8</v>
      </c>
      <c r="O155" s="164" t="s">
        <v>1529</v>
      </c>
      <c r="P155" s="161">
        <v>2.5000000000000001E-2</v>
      </c>
    </row>
    <row r="156" spans="2:16" x14ac:dyDescent="0.3">
      <c r="B156" s="170"/>
      <c r="C156" s="164"/>
      <c r="D156" s="161"/>
      <c r="F156" s="163">
        <v>9</v>
      </c>
      <c r="G156" s="164" t="s">
        <v>350</v>
      </c>
      <c r="H156" s="208">
        <v>0.05</v>
      </c>
      <c r="J156" s="163">
        <v>9</v>
      </c>
      <c r="K156" s="173" t="s">
        <v>328</v>
      </c>
      <c r="L156" s="161">
        <v>0.1</v>
      </c>
      <c r="M156" s="249"/>
      <c r="N156" s="163">
        <v>9</v>
      </c>
      <c r="O156" s="164" t="s">
        <v>350</v>
      </c>
      <c r="P156" s="161">
        <v>0.05</v>
      </c>
    </row>
    <row r="157" spans="2:16" x14ac:dyDescent="0.3">
      <c r="B157" s="170"/>
      <c r="C157" s="164"/>
      <c r="D157" s="161"/>
      <c r="F157" s="163">
        <v>10</v>
      </c>
      <c r="G157" s="164" t="s">
        <v>352</v>
      </c>
      <c r="H157" s="208">
        <v>6.25E-2</v>
      </c>
      <c r="J157" s="163">
        <v>10</v>
      </c>
      <c r="K157" s="173" t="s">
        <v>332</v>
      </c>
      <c r="L157" s="161">
        <v>0.2</v>
      </c>
      <c r="M157" s="249"/>
      <c r="N157" s="163">
        <v>10</v>
      </c>
      <c r="O157" s="164" t="s">
        <v>352</v>
      </c>
      <c r="P157" s="161">
        <v>6.25E-2</v>
      </c>
    </row>
    <row r="158" spans="2:16" x14ac:dyDescent="0.3">
      <c r="B158" s="170"/>
      <c r="C158" s="164"/>
      <c r="D158" s="161"/>
      <c r="F158" s="163">
        <v>11</v>
      </c>
      <c r="G158" s="164" t="s">
        <v>577</v>
      </c>
      <c r="H158" s="208">
        <v>0.15</v>
      </c>
      <c r="J158" s="163">
        <v>11</v>
      </c>
      <c r="K158" s="173" t="s">
        <v>334</v>
      </c>
      <c r="L158" s="161">
        <v>0.05</v>
      </c>
      <c r="M158" s="249"/>
      <c r="N158" s="163">
        <v>11</v>
      </c>
      <c r="O158" s="164" t="s">
        <v>577</v>
      </c>
      <c r="P158" s="161">
        <v>0.15</v>
      </c>
    </row>
    <row r="159" spans="2:16" x14ac:dyDescent="0.3">
      <c r="B159" s="170"/>
      <c r="C159" s="164"/>
      <c r="D159" s="161"/>
      <c r="F159" s="163">
        <v>12</v>
      </c>
      <c r="G159" s="164" t="s">
        <v>1530</v>
      </c>
      <c r="H159" s="208">
        <v>0.25</v>
      </c>
      <c r="J159" s="163">
        <v>12</v>
      </c>
      <c r="K159" s="173" t="s">
        <v>338</v>
      </c>
      <c r="L159" s="161">
        <v>0.1</v>
      </c>
      <c r="M159" s="249"/>
      <c r="N159" s="163">
        <v>12</v>
      </c>
      <c r="O159" s="164" t="s">
        <v>1530</v>
      </c>
      <c r="P159" s="161">
        <v>0.25</v>
      </c>
    </row>
    <row r="160" spans="2:16" x14ac:dyDescent="0.3">
      <c r="B160" s="170"/>
      <c r="C160" s="164"/>
      <c r="D160" s="161"/>
      <c r="F160" s="163">
        <v>13</v>
      </c>
      <c r="G160" s="164" t="s">
        <v>359</v>
      </c>
      <c r="H160" s="208">
        <v>0.05</v>
      </c>
      <c r="J160" s="163">
        <v>13</v>
      </c>
      <c r="K160" s="173" t="s">
        <v>340</v>
      </c>
      <c r="L160" s="161">
        <v>0.2</v>
      </c>
      <c r="M160" s="249"/>
      <c r="N160" s="163">
        <v>13</v>
      </c>
      <c r="O160" s="164" t="s">
        <v>359</v>
      </c>
      <c r="P160" s="161">
        <v>0.05</v>
      </c>
    </row>
    <row r="161" spans="2:16" x14ac:dyDescent="0.3">
      <c r="B161" s="170"/>
      <c r="C161" s="164"/>
      <c r="D161" s="161"/>
      <c r="F161" s="163">
        <v>14</v>
      </c>
      <c r="G161" s="164" t="s">
        <v>363</v>
      </c>
      <c r="H161" s="208">
        <v>7.4999999999999997E-2</v>
      </c>
      <c r="J161" s="163">
        <v>14</v>
      </c>
      <c r="K161" s="173" t="s">
        <v>342</v>
      </c>
      <c r="L161" s="161">
        <v>0.25</v>
      </c>
      <c r="M161" s="249"/>
      <c r="N161" s="163">
        <v>14</v>
      </c>
      <c r="O161" s="164" t="s">
        <v>363</v>
      </c>
      <c r="P161" s="161">
        <v>7.4999999999999997E-2</v>
      </c>
    </row>
    <row r="162" spans="2:16" x14ac:dyDescent="0.3">
      <c r="B162" s="170"/>
      <c r="C162" s="164"/>
      <c r="D162" s="161"/>
      <c r="F162" s="163">
        <v>15</v>
      </c>
      <c r="G162" s="164" t="s">
        <v>371</v>
      </c>
      <c r="H162" s="208">
        <v>0.125</v>
      </c>
      <c r="J162" s="163">
        <v>15</v>
      </c>
      <c r="K162" s="173" t="s">
        <v>1529</v>
      </c>
      <c r="L162" s="161">
        <v>2.5000000000000001E-2</v>
      </c>
      <c r="M162" s="249"/>
      <c r="N162" s="163">
        <v>15</v>
      </c>
      <c r="O162" s="164" t="s">
        <v>371</v>
      </c>
      <c r="P162" s="161">
        <v>0.125</v>
      </c>
    </row>
    <row r="163" spans="2:16" x14ac:dyDescent="0.3">
      <c r="B163" s="170"/>
      <c r="C163" s="164"/>
      <c r="D163" s="161"/>
      <c r="F163" s="163">
        <v>16</v>
      </c>
      <c r="G163" s="164" t="s">
        <v>373</v>
      </c>
      <c r="H163" s="208">
        <v>0.125</v>
      </c>
      <c r="J163" s="163">
        <v>16</v>
      </c>
      <c r="K163" s="173" t="s">
        <v>350</v>
      </c>
      <c r="L163" s="161">
        <v>0.05</v>
      </c>
      <c r="M163" s="249"/>
      <c r="N163" s="163">
        <v>16</v>
      </c>
      <c r="O163" s="164" t="s">
        <v>373</v>
      </c>
      <c r="P163" s="161">
        <v>0.125</v>
      </c>
    </row>
    <row r="164" spans="2:16" x14ac:dyDescent="0.3">
      <c r="B164" s="170"/>
      <c r="C164" s="164"/>
      <c r="D164" s="161"/>
      <c r="F164" s="163">
        <v>17</v>
      </c>
      <c r="G164" s="164" t="s">
        <v>375</v>
      </c>
      <c r="H164" s="208">
        <v>0.17499999999999999</v>
      </c>
      <c r="J164" s="163">
        <v>17</v>
      </c>
      <c r="K164" s="173" t="s">
        <v>352</v>
      </c>
      <c r="L164" s="161">
        <v>6.25E-2</v>
      </c>
      <c r="M164" s="249"/>
      <c r="N164" s="163">
        <v>17</v>
      </c>
      <c r="O164" s="164" t="s">
        <v>375</v>
      </c>
      <c r="P164" s="161">
        <v>0.17499999999999999</v>
      </c>
    </row>
    <row r="165" spans="2:16" x14ac:dyDescent="0.3">
      <c r="B165" s="170"/>
      <c r="C165" s="164"/>
      <c r="D165" s="161"/>
      <c r="F165" s="163">
        <v>18</v>
      </c>
      <c r="G165" s="164" t="s">
        <v>573</v>
      </c>
      <c r="H165" s="208">
        <v>0.3</v>
      </c>
      <c r="J165" s="163">
        <v>18</v>
      </c>
      <c r="K165" s="173" t="s">
        <v>577</v>
      </c>
      <c r="L165" s="161">
        <v>0.15</v>
      </c>
      <c r="M165" s="249"/>
      <c r="N165" s="163">
        <v>18</v>
      </c>
      <c r="O165" s="164" t="s">
        <v>573</v>
      </c>
      <c r="P165" s="161">
        <v>0.3</v>
      </c>
    </row>
    <row r="166" spans="2:16" x14ac:dyDescent="0.3">
      <c r="B166" s="170"/>
      <c r="C166" s="164"/>
      <c r="D166" s="161"/>
      <c r="F166" s="163">
        <v>19</v>
      </c>
      <c r="G166" s="164" t="s">
        <v>385</v>
      </c>
      <c r="H166" s="208">
        <v>7.4999999999999997E-2</v>
      </c>
      <c r="J166" s="163">
        <v>19</v>
      </c>
      <c r="K166" s="173" t="s">
        <v>1530</v>
      </c>
      <c r="L166" s="161">
        <v>0.25</v>
      </c>
      <c r="M166" s="249"/>
      <c r="N166" s="163">
        <v>19</v>
      </c>
      <c r="O166" s="164" t="s">
        <v>385</v>
      </c>
      <c r="P166" s="161">
        <v>7.4999999999999997E-2</v>
      </c>
    </row>
    <row r="167" spans="2:16" x14ac:dyDescent="0.3">
      <c r="B167" s="170"/>
      <c r="C167" s="164"/>
      <c r="D167" s="161"/>
      <c r="F167" s="163">
        <v>20</v>
      </c>
      <c r="G167" s="164" t="s">
        <v>383</v>
      </c>
      <c r="H167" s="208">
        <v>0.125</v>
      </c>
      <c r="J167" s="163">
        <v>20</v>
      </c>
      <c r="K167" s="173" t="s">
        <v>359</v>
      </c>
      <c r="L167" s="161">
        <v>0.05</v>
      </c>
      <c r="M167" s="249"/>
      <c r="N167" s="163">
        <v>20</v>
      </c>
      <c r="O167" s="164" t="s">
        <v>383</v>
      </c>
      <c r="P167" s="161">
        <v>0.125</v>
      </c>
    </row>
    <row r="168" spans="2:16" x14ac:dyDescent="0.3">
      <c r="B168" s="170"/>
      <c r="C168" s="164"/>
      <c r="D168" s="161"/>
      <c r="F168" s="163">
        <v>21</v>
      </c>
      <c r="G168" s="164" t="s">
        <v>575</v>
      </c>
      <c r="H168" s="208">
        <v>0.13750000000000001</v>
      </c>
      <c r="J168" s="163">
        <v>21</v>
      </c>
      <c r="K168" s="173" t="s">
        <v>363</v>
      </c>
      <c r="L168" s="161">
        <v>7.4999999999999997E-2</v>
      </c>
      <c r="M168" s="249"/>
      <c r="N168" s="163">
        <v>21</v>
      </c>
      <c r="O168" s="164" t="s">
        <v>575</v>
      </c>
      <c r="P168" s="161">
        <v>0.13750000000000001</v>
      </c>
    </row>
    <row r="169" spans="2:16" x14ac:dyDescent="0.3">
      <c r="B169" s="170"/>
      <c r="C169" s="164"/>
      <c r="D169" s="161"/>
      <c r="F169" s="163">
        <v>22</v>
      </c>
      <c r="G169" s="164" t="s">
        <v>393</v>
      </c>
      <c r="H169" s="208">
        <v>0.17499999999999999</v>
      </c>
      <c r="J169" s="163">
        <v>22</v>
      </c>
      <c r="K169" s="173" t="s">
        <v>371</v>
      </c>
      <c r="L169" s="161">
        <v>0.125</v>
      </c>
      <c r="M169" s="249"/>
      <c r="N169" s="163">
        <v>22</v>
      </c>
      <c r="O169" s="164" t="s">
        <v>393</v>
      </c>
      <c r="P169" s="161">
        <v>0.17499999999999999</v>
      </c>
    </row>
    <row r="170" spans="2:16" x14ac:dyDescent="0.3">
      <c r="B170" s="170"/>
      <c r="C170" s="164"/>
      <c r="D170" s="161"/>
      <c r="F170" s="163">
        <v>23</v>
      </c>
      <c r="G170" s="164" t="s">
        <v>397</v>
      </c>
      <c r="H170" s="208">
        <v>0.27500000000000002</v>
      </c>
      <c r="J170" s="163">
        <v>23</v>
      </c>
      <c r="K170" s="173" t="s">
        <v>373</v>
      </c>
      <c r="L170" s="161">
        <v>0.125</v>
      </c>
      <c r="M170" s="249"/>
      <c r="N170" s="163">
        <v>23</v>
      </c>
      <c r="O170" s="164" t="s">
        <v>397</v>
      </c>
      <c r="P170" s="161">
        <v>0.27500000000000002</v>
      </c>
    </row>
    <row r="171" spans="2:16" x14ac:dyDescent="0.3">
      <c r="B171" s="170"/>
      <c r="C171" s="164"/>
      <c r="D171" s="161"/>
      <c r="F171" s="163">
        <v>24</v>
      </c>
      <c r="G171" s="164" t="s">
        <v>399</v>
      </c>
      <c r="H171" s="208">
        <v>0.5</v>
      </c>
      <c r="J171" s="163">
        <v>24</v>
      </c>
      <c r="K171" s="173" t="s">
        <v>375</v>
      </c>
      <c r="L171" s="161">
        <v>0.17499999999999999</v>
      </c>
      <c r="M171" s="249"/>
      <c r="N171" s="163">
        <v>24</v>
      </c>
      <c r="O171" s="164" t="s">
        <v>399</v>
      </c>
      <c r="P171" s="161">
        <v>0.5</v>
      </c>
    </row>
    <row r="172" spans="2:16" x14ac:dyDescent="0.3">
      <c r="B172" s="170"/>
      <c r="C172" s="164"/>
      <c r="D172" s="161"/>
      <c r="F172" s="163"/>
      <c r="G172" s="164"/>
      <c r="H172" s="172"/>
      <c r="J172" s="163">
        <v>25</v>
      </c>
      <c r="K172" s="173" t="s">
        <v>573</v>
      </c>
      <c r="L172" s="161">
        <v>0.3</v>
      </c>
      <c r="M172" s="249"/>
      <c r="N172" s="163"/>
      <c r="O172" s="164"/>
      <c r="P172" s="161"/>
    </row>
    <row r="173" spans="2:16" x14ac:dyDescent="0.3">
      <c r="B173" s="170"/>
      <c r="C173" s="164"/>
      <c r="D173" s="161"/>
      <c r="F173" s="163"/>
      <c r="G173" s="164"/>
      <c r="H173" s="172"/>
      <c r="J173" s="163">
        <v>26</v>
      </c>
      <c r="K173" s="173" t="s">
        <v>385</v>
      </c>
      <c r="L173" s="161">
        <v>7.4999999999999997E-2</v>
      </c>
      <c r="M173" s="249"/>
      <c r="N173" s="163" t="str">
        <f t="shared" ref="N173:N186" si="3">IF(F173="","",F173)</f>
        <v/>
      </c>
      <c r="O173" s="164" t="str">
        <f t="shared" ref="O173:O186" si="4">IF(G173="","",G173)</f>
        <v/>
      </c>
      <c r="P173" s="161" t="str">
        <f t="shared" ref="P173:P186" si="5">IF(H173="","",H173)</f>
        <v/>
      </c>
    </row>
    <row r="174" spans="2:16" x14ac:dyDescent="0.3">
      <c r="B174" s="170"/>
      <c r="C174" s="164"/>
      <c r="D174" s="161"/>
      <c r="F174" s="163"/>
      <c r="G174" s="164"/>
      <c r="H174" s="172"/>
      <c r="J174" s="163">
        <v>27</v>
      </c>
      <c r="K174" s="173" t="s">
        <v>383</v>
      </c>
      <c r="L174" s="161">
        <v>0.125</v>
      </c>
      <c r="M174" s="249"/>
      <c r="N174" s="163" t="str">
        <f t="shared" si="3"/>
        <v/>
      </c>
      <c r="O174" s="164" t="str">
        <f t="shared" si="4"/>
        <v/>
      </c>
      <c r="P174" s="161" t="str">
        <f t="shared" si="5"/>
        <v/>
      </c>
    </row>
    <row r="175" spans="2:16" x14ac:dyDescent="0.3">
      <c r="B175" s="170"/>
      <c r="C175" s="164"/>
      <c r="D175" s="161"/>
      <c r="F175" s="163"/>
      <c r="G175" s="164"/>
      <c r="H175" s="172"/>
      <c r="J175" s="163">
        <v>28</v>
      </c>
      <c r="K175" s="173" t="s">
        <v>575</v>
      </c>
      <c r="L175" s="161">
        <v>0.13750000000000001</v>
      </c>
      <c r="M175" s="249"/>
      <c r="N175" s="163" t="str">
        <f t="shared" si="3"/>
        <v/>
      </c>
      <c r="O175" s="164" t="str">
        <f t="shared" si="4"/>
        <v/>
      </c>
      <c r="P175" s="161" t="str">
        <f t="shared" si="5"/>
        <v/>
      </c>
    </row>
    <row r="176" spans="2:16" x14ac:dyDescent="0.3">
      <c r="B176" s="170"/>
      <c r="C176" s="164"/>
      <c r="D176" s="161"/>
      <c r="F176" s="163"/>
      <c r="G176" s="164"/>
      <c r="H176" s="172"/>
      <c r="J176" s="163">
        <v>29</v>
      </c>
      <c r="K176" s="173" t="s">
        <v>393</v>
      </c>
      <c r="L176" s="161">
        <v>0.17499999999999999</v>
      </c>
      <c r="M176" s="249"/>
      <c r="N176" s="163" t="str">
        <f t="shared" si="3"/>
        <v/>
      </c>
      <c r="O176" s="164" t="str">
        <f t="shared" si="4"/>
        <v/>
      </c>
      <c r="P176" s="161" t="str">
        <f t="shared" si="5"/>
        <v/>
      </c>
    </row>
    <row r="177" spans="2:18" x14ac:dyDescent="0.3">
      <c r="B177" s="170"/>
      <c r="C177" s="164"/>
      <c r="D177" s="161"/>
      <c r="F177" s="163"/>
      <c r="G177" s="164"/>
      <c r="H177" s="172"/>
      <c r="J177" s="163">
        <v>30</v>
      </c>
      <c r="K177" s="173" t="s">
        <v>397</v>
      </c>
      <c r="L177" s="161">
        <v>0.27500000000000002</v>
      </c>
      <c r="M177" s="249"/>
      <c r="N177" s="163" t="str">
        <f t="shared" si="3"/>
        <v/>
      </c>
      <c r="O177" s="164" t="str">
        <f t="shared" si="4"/>
        <v/>
      </c>
      <c r="P177" s="161" t="str">
        <f t="shared" si="5"/>
        <v/>
      </c>
    </row>
    <row r="178" spans="2:18" x14ac:dyDescent="0.3">
      <c r="B178" s="170"/>
      <c r="C178" s="164"/>
      <c r="D178" s="161"/>
      <c r="F178" s="163"/>
      <c r="G178" s="164"/>
      <c r="H178" s="172"/>
      <c r="J178" s="163">
        <v>31</v>
      </c>
      <c r="K178" s="173" t="s">
        <v>399</v>
      </c>
      <c r="L178" s="161">
        <v>0.5</v>
      </c>
      <c r="M178" s="249"/>
      <c r="N178" s="163" t="str">
        <f t="shared" si="3"/>
        <v/>
      </c>
      <c r="O178" s="164" t="str">
        <f t="shared" si="4"/>
        <v/>
      </c>
      <c r="P178" s="161" t="str">
        <f t="shared" si="5"/>
        <v/>
      </c>
    </row>
    <row r="179" spans="2:18" x14ac:dyDescent="0.3">
      <c r="B179" s="170"/>
      <c r="C179" s="164"/>
      <c r="D179" s="161"/>
      <c r="F179" s="163"/>
      <c r="G179" s="164"/>
      <c r="H179" s="172"/>
      <c r="J179" s="163"/>
      <c r="K179" s="173"/>
      <c r="L179" s="161"/>
      <c r="N179" s="163" t="str">
        <f t="shared" si="3"/>
        <v/>
      </c>
      <c r="O179" s="164" t="str">
        <f t="shared" si="4"/>
        <v/>
      </c>
      <c r="P179" s="161" t="str">
        <f t="shared" si="5"/>
        <v/>
      </c>
    </row>
    <row r="180" spans="2:18" x14ac:dyDescent="0.3">
      <c r="B180" s="170"/>
      <c r="C180" s="164"/>
      <c r="D180" s="161"/>
      <c r="F180" s="163"/>
      <c r="G180" s="164"/>
      <c r="H180" s="172"/>
      <c r="J180" s="163"/>
      <c r="K180" s="173"/>
      <c r="L180" s="161"/>
      <c r="N180" s="163" t="str">
        <f t="shared" si="3"/>
        <v/>
      </c>
      <c r="O180" s="164" t="str">
        <f t="shared" si="4"/>
        <v/>
      </c>
      <c r="P180" s="161" t="str">
        <f t="shared" si="5"/>
        <v/>
      </c>
    </row>
    <row r="181" spans="2:18" x14ac:dyDescent="0.3">
      <c r="B181" s="170"/>
      <c r="C181" s="164"/>
      <c r="D181" s="161"/>
      <c r="F181" s="163"/>
      <c r="G181" s="164"/>
      <c r="H181" s="172"/>
      <c r="J181" s="163"/>
      <c r="K181" s="173"/>
      <c r="L181" s="161"/>
      <c r="N181" s="163" t="str">
        <f t="shared" si="3"/>
        <v/>
      </c>
      <c r="O181" s="164" t="str">
        <f t="shared" si="4"/>
        <v/>
      </c>
      <c r="P181" s="161" t="str">
        <f t="shared" si="5"/>
        <v/>
      </c>
    </row>
    <row r="182" spans="2:18" x14ac:dyDescent="0.3">
      <c r="B182" s="170"/>
      <c r="C182" s="164"/>
      <c r="D182" s="161"/>
      <c r="F182" s="163"/>
      <c r="G182" s="164"/>
      <c r="H182" s="172"/>
      <c r="J182" s="163"/>
      <c r="K182" s="173"/>
      <c r="L182" s="161"/>
      <c r="N182" s="163" t="str">
        <f t="shared" si="3"/>
        <v/>
      </c>
      <c r="O182" s="164" t="str">
        <f t="shared" si="4"/>
        <v/>
      </c>
      <c r="P182" s="161" t="str">
        <f t="shared" si="5"/>
        <v/>
      </c>
    </row>
    <row r="183" spans="2:18" x14ac:dyDescent="0.3">
      <c r="B183" s="170"/>
      <c r="C183" s="164"/>
      <c r="D183" s="161"/>
      <c r="F183" s="163"/>
      <c r="G183" s="164"/>
      <c r="H183" s="172"/>
      <c r="J183" s="163"/>
      <c r="K183" s="173"/>
      <c r="L183" s="161"/>
      <c r="N183" s="163" t="str">
        <f t="shared" si="3"/>
        <v/>
      </c>
      <c r="O183" s="164" t="str">
        <f t="shared" si="4"/>
        <v/>
      </c>
      <c r="P183" s="161" t="str">
        <f t="shared" si="5"/>
        <v/>
      </c>
    </row>
    <row r="184" spans="2:18" x14ac:dyDescent="0.3">
      <c r="B184" s="170"/>
      <c r="C184" s="164"/>
      <c r="D184" s="161"/>
      <c r="F184" s="163"/>
      <c r="G184" s="164"/>
      <c r="H184" s="172"/>
      <c r="J184" s="163"/>
      <c r="K184" s="173"/>
      <c r="L184" s="161"/>
      <c r="N184" s="163" t="str">
        <f t="shared" si="3"/>
        <v/>
      </c>
      <c r="O184" s="164" t="str">
        <f t="shared" si="4"/>
        <v/>
      </c>
      <c r="P184" s="161" t="str">
        <f t="shared" si="5"/>
        <v/>
      </c>
    </row>
    <row r="185" spans="2:18" x14ac:dyDescent="0.3">
      <c r="B185" s="170"/>
      <c r="C185" s="164"/>
      <c r="D185" s="161"/>
      <c r="F185" s="163"/>
      <c r="G185" s="164"/>
      <c r="H185" s="172"/>
      <c r="J185" s="163"/>
      <c r="K185" s="173"/>
      <c r="L185" s="161"/>
      <c r="N185" s="163" t="str">
        <f t="shared" si="3"/>
        <v/>
      </c>
      <c r="O185" s="164" t="str">
        <f t="shared" si="4"/>
        <v/>
      </c>
      <c r="P185" s="161" t="str">
        <f t="shared" si="5"/>
        <v/>
      </c>
    </row>
    <row r="186" spans="2:18" x14ac:dyDescent="0.3">
      <c r="B186" s="170"/>
      <c r="C186" s="164"/>
      <c r="D186" s="161"/>
      <c r="F186" s="163"/>
      <c r="G186" s="164"/>
      <c r="H186" s="172"/>
      <c r="J186" s="163"/>
      <c r="K186" s="173"/>
      <c r="L186" s="161"/>
      <c r="N186" s="163" t="str">
        <f t="shared" si="3"/>
        <v/>
      </c>
      <c r="O186" s="164" t="str">
        <f t="shared" si="4"/>
        <v/>
      </c>
      <c r="P186" s="161" t="str">
        <f t="shared" si="5"/>
        <v/>
      </c>
    </row>
    <row r="188" spans="2:18" s="1" customFormat="1" x14ac:dyDescent="0.3">
      <c r="B188" s="3"/>
      <c r="C188"/>
      <c r="D188"/>
      <c r="E188" s="3"/>
      <c r="F188"/>
      <c r="G188"/>
      <c r="H188" s="3"/>
      <c r="I188"/>
      <c r="J188"/>
      <c r="K188" s="3"/>
      <c r="L188"/>
      <c r="M188"/>
      <c r="N188"/>
      <c r="O188"/>
      <c r="P188"/>
      <c r="R188" s="175"/>
    </row>
    <row r="191" spans="2:18" ht="15.6" x14ac:dyDescent="0.3">
      <c r="B191" s="353" t="s">
        <v>1559</v>
      </c>
      <c r="C191" s="355"/>
      <c r="D191" s="355"/>
      <c r="E191" s="355"/>
      <c r="F191" s="355"/>
      <c r="G191" s="355"/>
      <c r="H191" s="355"/>
      <c r="I191" s="355"/>
      <c r="J191" s="355"/>
      <c r="K191" s="355"/>
      <c r="L191" s="354"/>
    </row>
    <row r="192" spans="2:18" ht="15.6" x14ac:dyDescent="0.3">
      <c r="B192" s="355" t="s">
        <v>1482</v>
      </c>
      <c r="C192" s="355"/>
      <c r="D192" s="158"/>
      <c r="E192" s="355" t="s">
        <v>1483</v>
      </c>
      <c r="F192" s="355"/>
      <c r="G192" s="158"/>
      <c r="H192" s="355" t="s">
        <v>1484</v>
      </c>
      <c r="I192" s="355"/>
      <c r="J192" s="158"/>
      <c r="K192" s="355" t="s">
        <v>1485</v>
      </c>
      <c r="L192" s="355"/>
    </row>
    <row r="193" spans="2:16" x14ac:dyDescent="0.3">
      <c r="B193" s="159" t="s">
        <v>1486</v>
      </c>
      <c r="C193" s="159" t="s">
        <v>1487</v>
      </c>
      <c r="D193" s="174"/>
      <c r="E193" s="159" t="s">
        <v>1486</v>
      </c>
      <c r="F193" s="159" t="s">
        <v>1487</v>
      </c>
      <c r="G193" s="174"/>
      <c r="H193" s="159" t="s">
        <v>1486</v>
      </c>
      <c r="I193" s="159" t="s">
        <v>1487</v>
      </c>
      <c r="J193" s="174"/>
      <c r="K193" s="159" t="s">
        <v>1486</v>
      </c>
      <c r="L193" s="159" t="s">
        <v>1487</v>
      </c>
      <c r="M193" s="1"/>
      <c r="N193" s="1"/>
      <c r="O193" s="1"/>
      <c r="P193" s="1"/>
    </row>
    <row r="194" spans="2:16" x14ac:dyDescent="0.3">
      <c r="B194" s="168"/>
      <c r="C194" s="161"/>
      <c r="D194" s="158"/>
      <c r="E194" s="168"/>
      <c r="F194" s="161"/>
      <c r="G194" s="158"/>
      <c r="H194" s="168"/>
      <c r="I194" s="161"/>
      <c r="J194" s="158"/>
      <c r="K194" s="168"/>
      <c r="L194" s="161"/>
    </row>
    <row r="195" spans="2:16" x14ac:dyDescent="0.3">
      <c r="B195" s="168" t="s">
        <v>1506</v>
      </c>
      <c r="C195" s="161"/>
      <c r="D195" s="158"/>
      <c r="E195" s="168" t="s">
        <v>1532</v>
      </c>
      <c r="F195" s="161">
        <v>0.1</v>
      </c>
      <c r="G195" s="158"/>
      <c r="H195" s="168" t="s">
        <v>1533</v>
      </c>
      <c r="I195" s="161">
        <v>0.2</v>
      </c>
      <c r="J195" s="158"/>
      <c r="K195" s="168" t="s">
        <v>1534</v>
      </c>
      <c r="L195" s="161">
        <v>0.2</v>
      </c>
    </row>
    <row r="196" spans="2:16" x14ac:dyDescent="0.3">
      <c r="B196" s="168"/>
      <c r="C196" s="161"/>
      <c r="D196" s="158"/>
      <c r="E196" s="168" t="s">
        <v>485</v>
      </c>
      <c r="F196" s="161">
        <v>0.2</v>
      </c>
      <c r="G196" s="158"/>
      <c r="H196" s="168" t="s">
        <v>1535</v>
      </c>
      <c r="I196" s="161">
        <v>0.3</v>
      </c>
      <c r="J196" s="158"/>
      <c r="K196" s="168" t="s">
        <v>1536</v>
      </c>
      <c r="L196" s="161">
        <v>0.3</v>
      </c>
    </row>
    <row r="197" spans="2:16" x14ac:dyDescent="0.3">
      <c r="B197" s="168"/>
      <c r="C197" s="161"/>
      <c r="D197" s="158"/>
      <c r="E197" s="168" t="s">
        <v>1537</v>
      </c>
      <c r="F197" s="161">
        <v>0.3</v>
      </c>
      <c r="G197" s="158"/>
      <c r="H197" s="168" t="s">
        <v>1538</v>
      </c>
      <c r="I197" s="161">
        <v>0.4</v>
      </c>
      <c r="J197" s="158"/>
      <c r="K197" s="168" t="s">
        <v>1539</v>
      </c>
      <c r="L197" s="161">
        <v>0.4</v>
      </c>
    </row>
    <row r="198" spans="2:16" x14ac:dyDescent="0.3">
      <c r="B198" s="168"/>
      <c r="C198" s="161"/>
      <c r="D198" s="158"/>
      <c r="E198" s="168" t="s">
        <v>1556</v>
      </c>
      <c r="F198" s="161">
        <v>0.05</v>
      </c>
      <c r="G198" s="158"/>
      <c r="H198" s="168" t="s">
        <v>1541</v>
      </c>
      <c r="I198" s="161">
        <v>0.3</v>
      </c>
      <c r="J198" s="158"/>
      <c r="K198" s="168" t="s">
        <v>1552</v>
      </c>
      <c r="L198" s="161">
        <v>0.05</v>
      </c>
    </row>
    <row r="199" spans="2:16" x14ac:dyDescent="0.3">
      <c r="B199" s="168"/>
      <c r="C199" s="161"/>
      <c r="D199" s="158"/>
      <c r="E199" s="168" t="s">
        <v>1557</v>
      </c>
      <c r="F199" s="161">
        <v>0.1</v>
      </c>
      <c r="G199" s="158"/>
      <c r="H199" s="168" t="s">
        <v>1543</v>
      </c>
      <c r="I199" s="161">
        <v>0.4</v>
      </c>
      <c r="J199" s="158"/>
      <c r="K199" s="168" t="s">
        <v>1553</v>
      </c>
      <c r="L199" s="161">
        <v>0.1</v>
      </c>
    </row>
    <row r="200" spans="2:16" x14ac:dyDescent="0.3">
      <c r="B200" s="168"/>
      <c r="C200" s="161"/>
      <c r="D200" s="158"/>
      <c r="E200" s="168" t="s">
        <v>1558</v>
      </c>
      <c r="F200" s="161">
        <v>0.15</v>
      </c>
      <c r="G200" s="158"/>
      <c r="H200" s="168" t="s">
        <v>1546</v>
      </c>
      <c r="I200" s="161">
        <v>0.5</v>
      </c>
      <c r="J200" s="158"/>
      <c r="K200" s="168" t="s">
        <v>1554</v>
      </c>
      <c r="L200" s="161">
        <v>0.15</v>
      </c>
    </row>
    <row r="201" spans="2:16" x14ac:dyDescent="0.3">
      <c r="B201" s="168"/>
      <c r="C201" s="161"/>
      <c r="D201" s="158"/>
      <c r="E201" s="168" t="s">
        <v>1540</v>
      </c>
      <c r="F201" s="161">
        <v>0.125</v>
      </c>
      <c r="G201" s="158"/>
      <c r="H201" s="168" t="s">
        <v>1952</v>
      </c>
      <c r="I201" s="161">
        <v>0.4</v>
      </c>
      <c r="J201" s="158"/>
      <c r="K201" s="168" t="s">
        <v>1544</v>
      </c>
      <c r="L201" s="161">
        <v>0.25</v>
      </c>
    </row>
    <row r="202" spans="2:16" x14ac:dyDescent="0.3">
      <c r="B202" s="168"/>
      <c r="C202" s="161"/>
      <c r="D202" s="158"/>
      <c r="E202" s="168" t="s">
        <v>1542</v>
      </c>
      <c r="F202" s="161">
        <v>0.22500000000000001</v>
      </c>
      <c r="G202" s="158"/>
      <c r="H202" s="168" t="s">
        <v>1550</v>
      </c>
      <c r="I202" s="161">
        <v>0.4</v>
      </c>
      <c r="J202" s="158"/>
      <c r="K202" s="168" t="s">
        <v>1547</v>
      </c>
      <c r="L202" s="161">
        <v>0.3</v>
      </c>
    </row>
    <row r="203" spans="2:16" x14ac:dyDescent="0.3">
      <c r="B203" s="168"/>
      <c r="C203" s="161"/>
      <c r="D203" s="158"/>
      <c r="E203" s="168" t="s">
        <v>1545</v>
      </c>
      <c r="F203" s="161">
        <v>0.32500000000000001</v>
      </c>
      <c r="G203" s="158"/>
      <c r="H203" s="168" t="s">
        <v>1953</v>
      </c>
      <c r="I203" s="161">
        <v>0.25</v>
      </c>
      <c r="J203" s="158"/>
      <c r="K203" s="168" t="s">
        <v>1549</v>
      </c>
      <c r="L203" s="161">
        <v>0.3</v>
      </c>
    </row>
    <row r="204" spans="2:16" x14ac:dyDescent="0.3">
      <c r="B204" s="168"/>
      <c r="C204" s="161"/>
      <c r="D204" s="158"/>
      <c r="E204" s="168" t="s">
        <v>1921</v>
      </c>
      <c r="F204" s="161">
        <v>0.42499999999999999</v>
      </c>
      <c r="G204" s="158"/>
      <c r="H204" s="168" t="s">
        <v>1954</v>
      </c>
      <c r="I204" s="161">
        <v>0.35</v>
      </c>
      <c r="J204" s="158"/>
      <c r="K204" s="168" t="s">
        <v>1932</v>
      </c>
      <c r="L204" s="161">
        <v>0.4</v>
      </c>
    </row>
    <row r="205" spans="2:16" x14ac:dyDescent="0.3">
      <c r="B205" s="168"/>
      <c r="C205" s="161"/>
      <c r="D205" s="158"/>
      <c r="E205" s="168" t="s">
        <v>1548</v>
      </c>
      <c r="F205" s="161">
        <v>0.15</v>
      </c>
      <c r="G205" s="158"/>
      <c r="H205" s="168"/>
      <c r="I205" s="161"/>
      <c r="J205" s="158"/>
      <c r="K205" s="168" t="s">
        <v>1933</v>
      </c>
      <c r="L205" s="161">
        <v>0.5</v>
      </c>
    </row>
    <row r="206" spans="2:16" x14ac:dyDescent="0.3">
      <c r="B206" s="168"/>
      <c r="C206" s="161"/>
      <c r="D206" s="158"/>
      <c r="E206" s="168" t="s">
        <v>487</v>
      </c>
      <c r="F206" s="161">
        <v>0.25</v>
      </c>
      <c r="G206" s="158"/>
      <c r="H206" s="168"/>
      <c r="I206" s="161"/>
      <c r="J206" s="158"/>
      <c r="K206" s="168"/>
      <c r="L206" s="161"/>
    </row>
    <row r="207" spans="2:16" x14ac:dyDescent="0.3">
      <c r="B207" s="168"/>
      <c r="C207" s="161"/>
      <c r="D207" s="158"/>
      <c r="E207" s="168" t="s">
        <v>1551</v>
      </c>
      <c r="F207" s="161">
        <v>0.35</v>
      </c>
      <c r="G207" s="158"/>
      <c r="H207" s="168"/>
      <c r="I207" s="161"/>
      <c r="J207" s="158"/>
      <c r="K207" s="168"/>
      <c r="L207" s="161"/>
    </row>
    <row r="208" spans="2:16" x14ac:dyDescent="0.3">
      <c r="B208" s="168"/>
      <c r="C208" s="161"/>
      <c r="D208" s="158"/>
      <c r="E208" s="168" t="s">
        <v>1411</v>
      </c>
      <c r="F208" s="161">
        <v>0.45</v>
      </c>
      <c r="G208" s="158"/>
      <c r="H208" s="168"/>
      <c r="I208" s="161"/>
      <c r="J208" s="158"/>
      <c r="K208" s="168"/>
      <c r="L208" s="161"/>
    </row>
    <row r="209" spans="2:18" x14ac:dyDescent="0.3">
      <c r="B209" s="168"/>
      <c r="C209" s="161"/>
      <c r="D209" s="158"/>
      <c r="E209" s="168" t="s">
        <v>556</v>
      </c>
      <c r="F209" s="161">
        <v>0.4</v>
      </c>
      <c r="G209" s="158"/>
      <c r="H209" s="168"/>
      <c r="I209" s="161"/>
      <c r="J209" s="158"/>
      <c r="K209" s="168"/>
      <c r="L209" s="161"/>
    </row>
    <row r="210" spans="2:18" x14ac:dyDescent="0.3">
      <c r="B210" s="168"/>
      <c r="C210" s="161"/>
      <c r="D210" s="158"/>
      <c r="E210" s="168" t="s">
        <v>1555</v>
      </c>
      <c r="F210" s="161">
        <v>0.5</v>
      </c>
      <c r="G210" s="158"/>
      <c r="H210" s="168"/>
      <c r="I210" s="161"/>
      <c r="J210" s="158"/>
      <c r="K210" s="168"/>
      <c r="L210" s="161"/>
    </row>
    <row r="211" spans="2:18" x14ac:dyDescent="0.3">
      <c r="B211" s="168"/>
      <c r="C211" s="161"/>
      <c r="D211" s="158"/>
      <c r="E211" s="168" t="s">
        <v>488</v>
      </c>
      <c r="F211" s="161">
        <v>0.8</v>
      </c>
      <c r="G211" s="158"/>
      <c r="H211" s="168"/>
      <c r="I211" s="161"/>
      <c r="J211" s="158"/>
      <c r="K211" s="168"/>
      <c r="L211" s="161"/>
    </row>
    <row r="212" spans="2:18" x14ac:dyDescent="0.3">
      <c r="B212" s="168"/>
      <c r="C212" s="161"/>
      <c r="D212" s="158"/>
      <c r="E212" s="168"/>
      <c r="F212" s="161"/>
      <c r="G212" s="158"/>
      <c r="H212" s="168"/>
      <c r="I212" s="161"/>
      <c r="J212" s="158"/>
      <c r="K212" s="168"/>
      <c r="L212" s="161"/>
    </row>
    <row r="213" spans="2:18" x14ac:dyDescent="0.3">
      <c r="B213" s="168"/>
      <c r="C213" s="161"/>
      <c r="D213" s="158"/>
      <c r="E213" s="168"/>
      <c r="F213" s="161"/>
      <c r="G213" s="158"/>
      <c r="H213" s="168"/>
      <c r="I213" s="161"/>
      <c r="J213" s="158"/>
      <c r="K213" s="168"/>
      <c r="L213" s="161"/>
    </row>
    <row r="214" spans="2:18" x14ac:dyDescent="0.3">
      <c r="B214" s="168"/>
      <c r="C214" s="161"/>
      <c r="D214" s="158"/>
      <c r="E214" s="168"/>
      <c r="F214" s="161"/>
      <c r="G214" s="158"/>
      <c r="H214" s="168"/>
      <c r="I214" s="161"/>
      <c r="J214" s="158"/>
      <c r="K214" s="168"/>
      <c r="L214" s="161"/>
    </row>
    <row r="215" spans="2:18" x14ac:dyDescent="0.3">
      <c r="B215" s="168"/>
      <c r="C215" s="161"/>
      <c r="D215" s="158"/>
      <c r="E215" s="168"/>
      <c r="F215" s="161"/>
      <c r="G215" s="158"/>
      <c r="H215" s="168"/>
      <c r="I215" s="161"/>
      <c r="J215" s="158"/>
      <c r="K215" s="168"/>
      <c r="L215" s="161"/>
    </row>
    <row r="216" spans="2:18" x14ac:dyDescent="0.3">
      <c r="B216" s="168"/>
      <c r="C216" s="161"/>
      <c r="D216" s="158"/>
      <c r="E216" s="168"/>
      <c r="F216" s="161"/>
      <c r="G216" s="158"/>
      <c r="H216" s="168"/>
      <c r="I216" s="161"/>
      <c r="J216" s="158"/>
      <c r="K216" s="168"/>
      <c r="L216" s="161"/>
    </row>
    <row r="217" spans="2:18" s="1" customFormat="1" x14ac:dyDescent="0.3">
      <c r="B217" s="3"/>
      <c r="C217"/>
      <c r="D217"/>
      <c r="E217" s="3"/>
      <c r="F217"/>
      <c r="G217"/>
      <c r="H217" s="3"/>
      <c r="I217"/>
      <c r="J217"/>
      <c r="K217" s="3"/>
      <c r="L217"/>
      <c r="M217"/>
      <c r="N217"/>
      <c r="O217"/>
      <c r="P217"/>
      <c r="R217" s="175"/>
    </row>
    <row r="220" spans="2:18" ht="15.6" x14ac:dyDescent="0.3">
      <c r="B220" s="353" t="s">
        <v>1630</v>
      </c>
      <c r="C220" s="355"/>
      <c r="D220" s="355"/>
      <c r="E220" s="355"/>
      <c r="F220" s="355"/>
      <c r="G220" s="355"/>
      <c r="H220" s="355"/>
      <c r="I220" s="355"/>
      <c r="J220" s="355"/>
      <c r="K220" s="355"/>
      <c r="L220" s="354"/>
    </row>
    <row r="221" spans="2:18" ht="15.6" x14ac:dyDescent="0.3">
      <c r="B221" s="355" t="s">
        <v>1482</v>
      </c>
      <c r="C221" s="355"/>
      <c r="D221" s="158"/>
      <c r="E221" s="355" t="s">
        <v>1483</v>
      </c>
      <c r="F221" s="355"/>
      <c r="G221" s="158"/>
      <c r="H221" s="355" t="s">
        <v>1484</v>
      </c>
      <c r="I221" s="355"/>
      <c r="J221" s="158"/>
      <c r="K221" s="355" t="s">
        <v>1485</v>
      </c>
      <c r="L221" s="355"/>
    </row>
    <row r="222" spans="2:18" x14ac:dyDescent="0.3">
      <c r="B222" s="159" t="s">
        <v>1486</v>
      </c>
      <c r="C222" s="159" t="s">
        <v>1487</v>
      </c>
      <c r="D222" s="174"/>
      <c r="E222" s="159" t="s">
        <v>1486</v>
      </c>
      <c r="F222" s="159" t="s">
        <v>1487</v>
      </c>
      <c r="G222" s="174"/>
      <c r="H222" s="159" t="s">
        <v>1486</v>
      </c>
      <c r="I222" s="159" t="s">
        <v>1487</v>
      </c>
      <c r="J222" s="174"/>
      <c r="K222" s="159" t="s">
        <v>1486</v>
      </c>
      <c r="L222" s="159" t="s">
        <v>1487</v>
      </c>
      <c r="M222" s="1"/>
      <c r="N222" s="1"/>
      <c r="O222" s="1"/>
      <c r="P222" s="1"/>
    </row>
    <row r="223" spans="2:18" x14ac:dyDescent="0.3">
      <c r="B223" s="168"/>
      <c r="C223" s="161"/>
      <c r="D223" s="158"/>
      <c r="E223" s="168"/>
      <c r="F223" s="161"/>
      <c r="G223" s="158"/>
      <c r="H223" s="168"/>
      <c r="I223" s="161"/>
      <c r="J223" s="158"/>
      <c r="K223" s="168"/>
      <c r="L223" s="161"/>
    </row>
    <row r="224" spans="2:18" x14ac:dyDescent="0.3">
      <c r="B224" s="168" t="s">
        <v>453</v>
      </c>
      <c r="C224" s="161">
        <v>7.4999999999999997E-2</v>
      </c>
      <c r="D224" s="158"/>
      <c r="E224" s="168" t="s">
        <v>1506</v>
      </c>
      <c r="F224" s="161"/>
      <c r="G224" s="158"/>
      <c r="H224" s="168" t="s">
        <v>1560</v>
      </c>
      <c r="I224" s="161">
        <v>2.5000000000000001E-2</v>
      </c>
      <c r="J224" s="158"/>
      <c r="K224" s="168" t="s">
        <v>1506</v>
      </c>
      <c r="L224" s="161"/>
    </row>
    <row r="225" spans="2:12" x14ac:dyDescent="0.3">
      <c r="B225" s="168" t="s">
        <v>1561</v>
      </c>
      <c r="C225" s="161">
        <v>0.1</v>
      </c>
      <c r="D225" s="158"/>
      <c r="E225" s="168"/>
      <c r="F225" s="161"/>
      <c r="G225" s="158"/>
      <c r="H225" s="168" t="s">
        <v>1562</v>
      </c>
      <c r="I225" s="161">
        <v>0.05</v>
      </c>
      <c r="J225" s="158"/>
      <c r="K225" s="168"/>
      <c r="L225" s="161"/>
    </row>
    <row r="226" spans="2:12" x14ac:dyDescent="0.3">
      <c r="B226" s="168" t="s">
        <v>1313</v>
      </c>
      <c r="C226" s="161">
        <v>0.15</v>
      </c>
      <c r="D226" s="158"/>
      <c r="E226" s="168"/>
      <c r="F226" s="161"/>
      <c r="G226" s="158"/>
      <c r="H226" s="168" t="s">
        <v>1563</v>
      </c>
      <c r="I226" s="161">
        <v>0.1</v>
      </c>
      <c r="J226" s="158"/>
      <c r="K226" s="168"/>
      <c r="L226" s="161"/>
    </row>
    <row r="227" spans="2:12" x14ac:dyDescent="0.3">
      <c r="B227" s="168" t="s">
        <v>1564</v>
      </c>
      <c r="C227" s="161">
        <v>0.25</v>
      </c>
      <c r="D227" s="158"/>
      <c r="E227" s="168"/>
      <c r="F227" s="161"/>
      <c r="G227" s="158"/>
      <c r="H227" s="168" t="s">
        <v>1565</v>
      </c>
      <c r="I227" s="161">
        <v>0.2</v>
      </c>
      <c r="J227" s="158"/>
      <c r="K227" s="168"/>
      <c r="L227" s="161"/>
    </row>
    <row r="228" spans="2:12" x14ac:dyDescent="0.3">
      <c r="B228" s="168" t="s">
        <v>1899</v>
      </c>
      <c r="C228" s="161">
        <v>0.3</v>
      </c>
      <c r="D228" s="158"/>
      <c r="E228" s="168"/>
      <c r="F228" s="161"/>
      <c r="G228" s="158"/>
      <c r="H228" s="168" t="s">
        <v>1566</v>
      </c>
      <c r="I228" s="161">
        <v>0.25</v>
      </c>
      <c r="J228" s="158"/>
      <c r="K228" s="168"/>
      <c r="L228" s="161"/>
    </row>
    <row r="229" spans="2:12" x14ac:dyDescent="0.3">
      <c r="B229" s="168" t="s">
        <v>443</v>
      </c>
      <c r="C229" s="161">
        <v>0.3</v>
      </c>
      <c r="D229" s="158"/>
      <c r="E229" s="168"/>
      <c r="F229" s="161"/>
      <c r="G229" s="158"/>
      <c r="H229" s="168" t="s">
        <v>1568</v>
      </c>
      <c r="I229" s="161">
        <v>0.35</v>
      </c>
      <c r="J229" s="158"/>
      <c r="K229" s="168"/>
      <c r="L229" s="161"/>
    </row>
    <row r="230" spans="2:12" x14ac:dyDescent="0.3">
      <c r="B230" s="168" t="s">
        <v>1567</v>
      </c>
      <c r="C230" s="161">
        <v>0.4</v>
      </c>
      <c r="D230" s="158"/>
      <c r="E230" s="168"/>
      <c r="F230" s="161"/>
      <c r="G230" s="158"/>
      <c r="H230" s="168" t="s">
        <v>1955</v>
      </c>
      <c r="I230" s="161">
        <v>2.5000000000000001E-2</v>
      </c>
      <c r="J230" s="158"/>
      <c r="K230" s="168"/>
      <c r="L230" s="161"/>
    </row>
    <row r="231" spans="2:12" x14ac:dyDescent="0.3">
      <c r="B231" s="168" t="s">
        <v>1569</v>
      </c>
      <c r="C231" s="161">
        <v>0.5</v>
      </c>
      <c r="D231" s="158"/>
      <c r="E231" s="168"/>
      <c r="F231" s="161"/>
      <c r="G231" s="158"/>
      <c r="H231" s="168" t="s">
        <v>1571</v>
      </c>
      <c r="I231" s="161">
        <v>0.05</v>
      </c>
      <c r="J231" s="158"/>
      <c r="K231" s="168"/>
      <c r="L231" s="161"/>
    </row>
    <row r="232" spans="2:12" x14ac:dyDescent="0.3">
      <c r="B232" s="168" t="s">
        <v>1570</v>
      </c>
      <c r="C232" s="161">
        <v>0.6</v>
      </c>
      <c r="D232" s="158"/>
      <c r="E232" s="168"/>
      <c r="F232" s="161"/>
      <c r="G232" s="158"/>
      <c r="H232" s="168" t="s">
        <v>1573</v>
      </c>
      <c r="I232" s="161">
        <v>0.1</v>
      </c>
      <c r="J232" s="158"/>
      <c r="K232" s="168"/>
      <c r="L232" s="161"/>
    </row>
    <row r="233" spans="2:12" x14ac:dyDescent="0.3">
      <c r="B233" s="168" t="s">
        <v>1572</v>
      </c>
      <c r="C233" s="161">
        <v>0.55000000000000004</v>
      </c>
      <c r="D233" s="158"/>
      <c r="E233" s="168"/>
      <c r="F233" s="161"/>
      <c r="G233" s="158"/>
      <c r="H233" s="168" t="s">
        <v>1575</v>
      </c>
      <c r="I233" s="161">
        <v>0.15</v>
      </c>
      <c r="J233" s="158"/>
      <c r="K233" s="168"/>
      <c r="L233" s="161"/>
    </row>
    <row r="234" spans="2:12" x14ac:dyDescent="0.3">
      <c r="B234" s="168" t="s">
        <v>1574</v>
      </c>
      <c r="C234" s="161">
        <v>0.65</v>
      </c>
      <c r="D234" s="158"/>
      <c r="E234" s="168"/>
      <c r="F234" s="161"/>
      <c r="G234" s="158"/>
      <c r="H234" s="168" t="s">
        <v>1577</v>
      </c>
      <c r="I234" s="161">
        <v>0.2</v>
      </c>
      <c r="J234" s="158"/>
      <c r="K234" s="168"/>
      <c r="L234" s="161"/>
    </row>
    <row r="235" spans="2:12" x14ac:dyDescent="0.3">
      <c r="B235" s="168" t="s">
        <v>1576</v>
      </c>
      <c r="C235" s="161">
        <v>0.85</v>
      </c>
      <c r="D235" s="158"/>
      <c r="E235" s="168"/>
      <c r="F235" s="161"/>
      <c r="G235" s="158"/>
      <c r="H235" s="168" t="s">
        <v>1579</v>
      </c>
      <c r="I235" s="161">
        <v>0.3</v>
      </c>
      <c r="J235" s="158"/>
      <c r="K235" s="168"/>
      <c r="L235" s="161"/>
    </row>
    <row r="236" spans="2:12" x14ac:dyDescent="0.3">
      <c r="B236" s="168" t="s">
        <v>1578</v>
      </c>
      <c r="C236" s="161">
        <v>0.95</v>
      </c>
      <c r="D236" s="158"/>
      <c r="E236" s="168"/>
      <c r="F236" s="161"/>
      <c r="G236" s="158"/>
      <c r="H236" s="168" t="s">
        <v>1580</v>
      </c>
      <c r="I236" s="161">
        <v>0.4</v>
      </c>
      <c r="J236" s="158"/>
      <c r="K236" s="168"/>
      <c r="L236" s="161"/>
    </row>
    <row r="237" spans="2:12" x14ac:dyDescent="0.3">
      <c r="B237" s="168" t="s">
        <v>445</v>
      </c>
      <c r="C237" s="161">
        <v>0.8</v>
      </c>
      <c r="D237" s="158"/>
      <c r="E237" s="168"/>
      <c r="F237" s="161"/>
      <c r="G237" s="158"/>
      <c r="H237" s="168" t="s">
        <v>1582</v>
      </c>
      <c r="I237" s="161">
        <v>0.6</v>
      </c>
      <c r="J237" s="158"/>
      <c r="K237" s="168"/>
      <c r="L237" s="161"/>
    </row>
    <row r="238" spans="2:12" x14ac:dyDescent="0.3">
      <c r="B238" s="168" t="s">
        <v>1581</v>
      </c>
      <c r="C238" s="161">
        <v>1.3</v>
      </c>
      <c r="D238" s="158"/>
      <c r="E238" s="168"/>
      <c r="F238" s="161"/>
      <c r="G238" s="158"/>
      <c r="H238" s="168" t="s">
        <v>1584</v>
      </c>
      <c r="I238" s="161">
        <v>0.3</v>
      </c>
      <c r="J238" s="158"/>
      <c r="K238" s="168"/>
      <c r="L238" s="161"/>
    </row>
    <row r="239" spans="2:12" x14ac:dyDescent="0.3">
      <c r="B239" s="168" t="s">
        <v>1583</v>
      </c>
      <c r="C239" s="161">
        <v>0.9</v>
      </c>
      <c r="D239" s="158"/>
      <c r="E239" s="168"/>
      <c r="F239" s="161"/>
      <c r="G239" s="158"/>
      <c r="H239" s="168" t="s">
        <v>1586</v>
      </c>
      <c r="I239" s="161">
        <v>0.5</v>
      </c>
      <c r="J239" s="158"/>
      <c r="K239" s="168"/>
      <c r="L239" s="161"/>
    </row>
    <row r="240" spans="2:12" x14ac:dyDescent="0.3">
      <c r="B240" s="168" t="s">
        <v>1585</v>
      </c>
      <c r="C240" s="161">
        <v>1.4</v>
      </c>
      <c r="D240" s="158"/>
      <c r="E240" s="168"/>
      <c r="F240" s="161"/>
      <c r="G240" s="158"/>
      <c r="H240" s="168" t="s">
        <v>1588</v>
      </c>
      <c r="I240" s="161">
        <v>0.6</v>
      </c>
      <c r="J240" s="158"/>
      <c r="K240" s="168"/>
      <c r="L240" s="161"/>
    </row>
    <row r="241" spans="2:12" x14ac:dyDescent="0.3">
      <c r="B241" s="168" t="s">
        <v>1587</v>
      </c>
      <c r="C241" s="161">
        <v>1</v>
      </c>
      <c r="D241" s="158"/>
      <c r="E241" s="168"/>
      <c r="F241" s="161"/>
      <c r="G241" s="158"/>
      <c r="H241" s="168" t="s">
        <v>1590</v>
      </c>
      <c r="I241" s="161">
        <v>0.05</v>
      </c>
      <c r="J241" s="158"/>
      <c r="K241" s="168"/>
      <c r="L241" s="161"/>
    </row>
    <row r="242" spans="2:12" x14ac:dyDescent="0.3">
      <c r="B242" s="168" t="s">
        <v>1589</v>
      </c>
      <c r="C242" s="161">
        <v>1.3</v>
      </c>
      <c r="D242" s="158"/>
      <c r="E242" s="168"/>
      <c r="F242" s="161"/>
      <c r="G242" s="158"/>
      <c r="H242" s="168" t="s">
        <v>1591</v>
      </c>
      <c r="I242" s="161">
        <v>0.1</v>
      </c>
      <c r="J242" s="158"/>
      <c r="K242" s="168"/>
      <c r="L242" s="161"/>
    </row>
    <row r="243" spans="2:12" x14ac:dyDescent="0.3">
      <c r="B243" s="168" t="s">
        <v>447</v>
      </c>
      <c r="C243" s="161">
        <v>1.5</v>
      </c>
      <c r="D243" s="158"/>
      <c r="E243" s="168"/>
      <c r="F243" s="161"/>
      <c r="G243" s="158"/>
      <c r="H243" s="168" t="s">
        <v>1592</v>
      </c>
      <c r="I243" s="161">
        <v>0.15</v>
      </c>
      <c r="J243" s="158"/>
      <c r="K243" s="168"/>
      <c r="L243" s="161"/>
    </row>
    <row r="244" spans="2:12" x14ac:dyDescent="0.3">
      <c r="B244" s="168" t="s">
        <v>449</v>
      </c>
      <c r="C244" s="161">
        <v>0.4</v>
      </c>
      <c r="D244" s="158"/>
      <c r="E244" s="168"/>
      <c r="F244" s="161"/>
      <c r="G244" s="158"/>
      <c r="H244" s="168" t="s">
        <v>302</v>
      </c>
      <c r="I244" s="161">
        <v>0.05</v>
      </c>
      <c r="J244" s="158"/>
      <c r="K244" s="168"/>
      <c r="L244" s="161"/>
    </row>
    <row r="245" spans="2:12" x14ac:dyDescent="0.3">
      <c r="B245" s="168" t="s">
        <v>1593</v>
      </c>
      <c r="C245" s="161">
        <v>0.6</v>
      </c>
      <c r="D245" s="158"/>
      <c r="E245" s="168"/>
      <c r="F245" s="161"/>
      <c r="G245" s="158"/>
      <c r="H245" s="168" t="s">
        <v>1594</v>
      </c>
      <c r="I245" s="161">
        <v>0.1</v>
      </c>
      <c r="J245" s="158"/>
      <c r="K245" s="168"/>
      <c r="L245" s="161"/>
    </row>
    <row r="246" spans="2:12" x14ac:dyDescent="0.3">
      <c r="B246" s="168" t="s">
        <v>451</v>
      </c>
      <c r="C246" s="161">
        <v>0.8</v>
      </c>
      <c r="D246" s="158"/>
      <c r="E246" s="168"/>
      <c r="F246" s="161"/>
      <c r="G246" s="158"/>
      <c r="H246" s="168" t="s">
        <v>1595</v>
      </c>
      <c r="I246" s="161">
        <v>0.15</v>
      </c>
      <c r="J246" s="158"/>
      <c r="K246" s="168"/>
      <c r="L246" s="161"/>
    </row>
    <row r="247" spans="2:12" x14ac:dyDescent="0.3">
      <c r="B247" s="168" t="s">
        <v>452</v>
      </c>
      <c r="C247" s="161">
        <v>0.1</v>
      </c>
      <c r="D247" s="158"/>
      <c r="E247" s="168"/>
      <c r="F247" s="161"/>
      <c r="G247" s="158"/>
      <c r="H247" s="168" t="s">
        <v>1599</v>
      </c>
      <c r="I247" s="161">
        <v>0.125</v>
      </c>
      <c r="J247" s="158"/>
      <c r="K247" s="168"/>
      <c r="L247" s="161"/>
    </row>
    <row r="248" spans="2:12" x14ac:dyDescent="0.3">
      <c r="B248" s="168" t="s">
        <v>1596</v>
      </c>
      <c r="C248" s="161">
        <v>0.15</v>
      </c>
      <c r="D248" s="158"/>
      <c r="E248" s="168"/>
      <c r="F248" s="161"/>
      <c r="G248" s="158"/>
      <c r="H248" s="168" t="s">
        <v>1956</v>
      </c>
      <c r="I248" s="161">
        <v>0.35</v>
      </c>
      <c r="J248" s="158"/>
      <c r="K248" s="168"/>
      <c r="L248" s="161"/>
    </row>
    <row r="249" spans="2:12" x14ac:dyDescent="0.3">
      <c r="B249" s="168" t="s">
        <v>1597</v>
      </c>
      <c r="C249" s="161">
        <v>0.17499999999999999</v>
      </c>
      <c r="D249" s="158"/>
      <c r="E249" s="168"/>
      <c r="F249" s="161"/>
      <c r="G249" s="158"/>
      <c r="H249" s="168" t="s">
        <v>1602</v>
      </c>
      <c r="I249" s="161">
        <v>0.4</v>
      </c>
      <c r="J249" s="158"/>
      <c r="K249" s="168"/>
      <c r="L249" s="161"/>
    </row>
    <row r="250" spans="2:12" x14ac:dyDescent="0.3">
      <c r="B250" s="168" t="s">
        <v>448</v>
      </c>
      <c r="C250" s="161">
        <v>0.1</v>
      </c>
      <c r="D250" s="158"/>
      <c r="E250" s="168"/>
      <c r="F250" s="161"/>
      <c r="G250" s="158"/>
      <c r="H250" s="168" t="s">
        <v>1604</v>
      </c>
      <c r="I250" s="161">
        <v>0.45</v>
      </c>
      <c r="J250" s="158"/>
      <c r="K250" s="168"/>
      <c r="L250" s="161"/>
    </row>
    <row r="251" spans="2:12" x14ac:dyDescent="0.3">
      <c r="B251" s="168" t="s">
        <v>1600</v>
      </c>
      <c r="C251" s="161">
        <v>0.15</v>
      </c>
      <c r="D251" s="158"/>
      <c r="E251" s="168"/>
      <c r="F251" s="161"/>
      <c r="G251" s="158"/>
      <c r="H251" s="168" t="s">
        <v>1605</v>
      </c>
      <c r="I251" s="161">
        <v>0.5</v>
      </c>
      <c r="J251" s="158"/>
      <c r="K251" s="168"/>
      <c r="L251" s="161"/>
    </row>
    <row r="252" spans="2:12" x14ac:dyDescent="0.3">
      <c r="B252" s="168" t="s">
        <v>1601</v>
      </c>
      <c r="C252" s="161">
        <v>0.17499999999999999</v>
      </c>
      <c r="D252" s="158"/>
      <c r="E252" s="168"/>
      <c r="F252" s="161"/>
      <c r="G252" s="158"/>
      <c r="H252" s="168" t="s">
        <v>1606</v>
      </c>
      <c r="I252" s="161">
        <v>0.45</v>
      </c>
      <c r="J252" s="158"/>
      <c r="K252" s="168"/>
      <c r="L252" s="161"/>
    </row>
    <row r="253" spans="2:12" x14ac:dyDescent="0.3">
      <c r="B253" s="168" t="s">
        <v>1900</v>
      </c>
      <c r="C253" s="161">
        <v>0.125</v>
      </c>
      <c r="D253" s="158"/>
      <c r="E253" s="168"/>
      <c r="F253" s="161"/>
      <c r="G253" s="158"/>
      <c r="H253" s="168" t="s">
        <v>1608</v>
      </c>
      <c r="I253" s="161">
        <v>0.5</v>
      </c>
      <c r="J253" s="158"/>
      <c r="K253" s="168"/>
      <c r="L253" s="161"/>
    </row>
    <row r="254" spans="2:12" x14ac:dyDescent="0.3">
      <c r="B254" s="168" t="s">
        <v>1603</v>
      </c>
      <c r="C254" s="161">
        <v>0.4</v>
      </c>
      <c r="D254" s="158"/>
      <c r="E254" s="168"/>
      <c r="F254" s="161"/>
      <c r="G254" s="158"/>
      <c r="H254" s="168" t="s">
        <v>1609</v>
      </c>
      <c r="I254" s="161">
        <v>0.6</v>
      </c>
      <c r="J254" s="158"/>
      <c r="K254" s="168"/>
      <c r="L254" s="161"/>
    </row>
    <row r="255" spans="2:12" x14ac:dyDescent="0.3">
      <c r="B255" s="168" t="s">
        <v>1607</v>
      </c>
      <c r="C255" s="161">
        <v>0.45</v>
      </c>
      <c r="D255" s="158"/>
      <c r="E255" s="168"/>
      <c r="F255" s="161"/>
      <c r="G255" s="158"/>
      <c r="H255" s="168" t="s">
        <v>1611</v>
      </c>
      <c r="I255" s="161">
        <v>0.65</v>
      </c>
      <c r="J255" s="158"/>
      <c r="K255" s="168"/>
      <c r="L255" s="161"/>
    </row>
    <row r="256" spans="2:12" x14ac:dyDescent="0.3">
      <c r="B256" s="168" t="s">
        <v>1901</v>
      </c>
      <c r="C256" s="161">
        <v>0.35</v>
      </c>
      <c r="D256" s="158"/>
      <c r="E256" s="168"/>
      <c r="F256" s="161"/>
      <c r="G256" s="158"/>
      <c r="H256" s="168" t="s">
        <v>1613</v>
      </c>
      <c r="I256" s="161">
        <v>0.7</v>
      </c>
      <c r="J256" s="158"/>
      <c r="K256" s="168"/>
      <c r="L256" s="161"/>
    </row>
    <row r="257" spans="2:12" x14ac:dyDescent="0.3">
      <c r="B257" s="168" t="s">
        <v>1610</v>
      </c>
      <c r="C257" s="161">
        <v>0.45</v>
      </c>
      <c r="D257" s="158"/>
      <c r="E257" s="168"/>
      <c r="F257" s="161"/>
      <c r="G257" s="158"/>
      <c r="H257" s="168" t="s">
        <v>1957</v>
      </c>
      <c r="I257" s="161">
        <v>0.55000000000000004</v>
      </c>
      <c r="J257" s="158"/>
      <c r="K257" s="168"/>
      <c r="L257" s="161"/>
    </row>
    <row r="258" spans="2:12" x14ac:dyDescent="0.3">
      <c r="B258" s="168" t="s">
        <v>1612</v>
      </c>
      <c r="C258" s="161">
        <v>0.55000000000000004</v>
      </c>
      <c r="D258" s="158"/>
      <c r="E258" s="168"/>
      <c r="F258" s="161"/>
      <c r="G258" s="158"/>
      <c r="H258" s="168" t="s">
        <v>1958</v>
      </c>
      <c r="I258" s="161">
        <v>0.65</v>
      </c>
      <c r="J258" s="158"/>
      <c r="K258" s="168"/>
      <c r="L258" s="161"/>
    </row>
    <row r="259" spans="2:12" x14ac:dyDescent="0.3">
      <c r="B259" s="168" t="s">
        <v>458</v>
      </c>
      <c r="C259" s="161">
        <v>0.5</v>
      </c>
      <c r="D259" s="158"/>
      <c r="E259" s="168"/>
      <c r="F259" s="161"/>
      <c r="G259" s="158"/>
      <c r="H259" s="168" t="s">
        <v>1959</v>
      </c>
      <c r="I259" s="161">
        <v>0.75</v>
      </c>
      <c r="J259" s="158"/>
      <c r="K259" s="168"/>
      <c r="L259" s="161"/>
    </row>
    <row r="260" spans="2:12" x14ac:dyDescent="0.3">
      <c r="B260" s="168" t="s">
        <v>1902</v>
      </c>
      <c r="C260" s="161">
        <v>0.6</v>
      </c>
      <c r="D260" s="158"/>
      <c r="E260" s="168"/>
      <c r="F260" s="161"/>
      <c r="G260" s="158"/>
      <c r="H260" s="168" t="s">
        <v>1598</v>
      </c>
      <c r="I260" s="161">
        <v>0.25</v>
      </c>
      <c r="J260" s="158"/>
      <c r="K260" s="168"/>
      <c r="L260" s="161"/>
    </row>
    <row r="261" spans="2:12" x14ac:dyDescent="0.3">
      <c r="B261" s="168" t="s">
        <v>1614</v>
      </c>
      <c r="C261" s="161">
        <v>0.55000000000000004</v>
      </c>
      <c r="D261" s="158"/>
      <c r="E261" s="168"/>
      <c r="F261" s="161"/>
      <c r="G261" s="158"/>
      <c r="H261" s="168"/>
      <c r="I261" s="161"/>
      <c r="J261" s="158"/>
      <c r="K261" s="168"/>
      <c r="L261" s="161"/>
    </row>
    <row r="262" spans="2:12" x14ac:dyDescent="0.3">
      <c r="B262" s="168" t="s">
        <v>1615</v>
      </c>
      <c r="C262" s="161">
        <v>0.67500000000000004</v>
      </c>
      <c r="D262" s="158"/>
      <c r="E262" s="168"/>
      <c r="F262" s="161"/>
      <c r="G262" s="158"/>
      <c r="H262" s="168"/>
      <c r="I262" s="161"/>
      <c r="J262" s="158"/>
      <c r="K262" s="168"/>
      <c r="L262" s="161"/>
    </row>
    <row r="263" spans="2:12" x14ac:dyDescent="0.3">
      <c r="B263" s="168" t="s">
        <v>1903</v>
      </c>
      <c r="C263" s="161">
        <v>0.77500000000000002</v>
      </c>
      <c r="D263" s="158"/>
      <c r="E263" s="168"/>
      <c r="F263" s="161"/>
      <c r="G263" s="158"/>
      <c r="H263" s="168"/>
      <c r="I263" s="161"/>
      <c r="J263" s="158"/>
      <c r="K263" s="168"/>
      <c r="L263" s="161"/>
    </row>
    <row r="264" spans="2:12" x14ac:dyDescent="0.3">
      <c r="B264" s="168" t="s">
        <v>1616</v>
      </c>
      <c r="C264" s="161">
        <v>0.97499999999999998</v>
      </c>
      <c r="D264" s="158"/>
      <c r="E264" s="168"/>
      <c r="F264" s="161"/>
      <c r="G264" s="158"/>
      <c r="H264" s="168"/>
      <c r="I264" s="161"/>
      <c r="J264" s="158"/>
      <c r="K264" s="168"/>
      <c r="L264" s="161"/>
    </row>
    <row r="265" spans="2:12" x14ac:dyDescent="0.3">
      <c r="B265" s="168" t="s">
        <v>1904</v>
      </c>
      <c r="C265" s="161">
        <v>1.075</v>
      </c>
      <c r="D265" s="158"/>
      <c r="E265" s="168"/>
      <c r="F265" s="161"/>
      <c r="G265" s="158"/>
      <c r="H265" s="168"/>
      <c r="I265" s="161"/>
      <c r="J265" s="158"/>
      <c r="K265" s="168"/>
      <c r="L265" s="161"/>
    </row>
    <row r="266" spans="2:12" x14ac:dyDescent="0.3">
      <c r="B266" s="168" t="s">
        <v>1617</v>
      </c>
      <c r="C266" s="161">
        <v>0.7</v>
      </c>
      <c r="D266" s="158"/>
      <c r="E266" s="168"/>
      <c r="F266" s="161"/>
      <c r="G266" s="158"/>
      <c r="H266" s="168"/>
      <c r="I266" s="161"/>
      <c r="J266" s="158"/>
      <c r="K266" s="168"/>
      <c r="L266" s="161"/>
    </row>
    <row r="267" spans="2:12" x14ac:dyDescent="0.3">
      <c r="B267" s="168" t="s">
        <v>1618</v>
      </c>
      <c r="C267" s="161">
        <v>0.77500000000000002</v>
      </c>
      <c r="D267" s="158"/>
      <c r="E267" s="168"/>
      <c r="F267" s="161"/>
      <c r="G267" s="158"/>
      <c r="H267" s="168"/>
      <c r="I267" s="161"/>
      <c r="J267" s="158"/>
      <c r="K267" s="168"/>
      <c r="L267" s="161"/>
    </row>
    <row r="268" spans="2:12" x14ac:dyDescent="0.3">
      <c r="B268" s="168" t="s">
        <v>1619</v>
      </c>
      <c r="C268" s="161">
        <v>0.92500000000000004</v>
      </c>
      <c r="D268" s="158"/>
      <c r="E268" s="168"/>
      <c r="F268" s="161"/>
      <c r="G268" s="158"/>
      <c r="H268" s="168"/>
      <c r="I268" s="161"/>
      <c r="J268" s="158"/>
      <c r="K268" s="168"/>
      <c r="L268" s="161"/>
    </row>
    <row r="269" spans="2:12" x14ac:dyDescent="0.3">
      <c r="B269" s="168" t="s">
        <v>1905</v>
      </c>
      <c r="C269" s="161">
        <v>1.0249999999999999</v>
      </c>
      <c r="D269" s="158"/>
      <c r="E269" s="168"/>
      <c r="F269" s="161"/>
      <c r="G269" s="158"/>
      <c r="H269" s="168"/>
      <c r="I269" s="161"/>
      <c r="J269" s="158"/>
      <c r="K269" s="168"/>
      <c r="L269" s="161"/>
    </row>
    <row r="270" spans="2:12" x14ac:dyDescent="0.3">
      <c r="B270" s="168" t="s">
        <v>1620</v>
      </c>
      <c r="C270" s="161">
        <v>1.425</v>
      </c>
      <c r="D270" s="158"/>
      <c r="E270" s="168"/>
      <c r="F270" s="161"/>
      <c r="G270" s="158"/>
      <c r="H270" s="168"/>
      <c r="I270" s="161"/>
      <c r="J270" s="158"/>
      <c r="K270" s="168"/>
      <c r="L270" s="161"/>
    </row>
    <row r="271" spans="2:12" x14ac:dyDescent="0.3">
      <c r="B271" s="168" t="s">
        <v>1906</v>
      </c>
      <c r="C271" s="161">
        <v>1.5249999999999999</v>
      </c>
      <c r="D271" s="158"/>
      <c r="E271" s="168"/>
      <c r="F271" s="161"/>
      <c r="G271" s="158"/>
      <c r="H271" s="168"/>
      <c r="I271" s="161"/>
      <c r="J271" s="158"/>
      <c r="K271" s="168"/>
      <c r="L271" s="161"/>
    </row>
    <row r="272" spans="2:12" x14ac:dyDescent="0.3">
      <c r="B272" s="168" t="s">
        <v>463</v>
      </c>
      <c r="C272" s="161">
        <v>0.97499999999999998</v>
      </c>
      <c r="D272" s="158"/>
      <c r="E272" s="168"/>
      <c r="F272" s="161"/>
      <c r="G272" s="158"/>
      <c r="H272" s="168"/>
      <c r="I272" s="161"/>
      <c r="J272" s="158"/>
      <c r="K272" s="168"/>
      <c r="L272" s="161"/>
    </row>
    <row r="273" spans="2:12" x14ac:dyDescent="0.3">
      <c r="B273" s="168" t="s">
        <v>1907</v>
      </c>
      <c r="C273" s="161">
        <v>1.4750000000000001</v>
      </c>
      <c r="D273" s="158"/>
      <c r="E273" s="168"/>
      <c r="F273" s="161"/>
      <c r="G273" s="158"/>
      <c r="H273" s="168"/>
      <c r="I273" s="161"/>
      <c r="J273" s="158"/>
      <c r="K273" s="168"/>
      <c r="L273" s="161"/>
    </row>
    <row r="274" spans="2:12" x14ac:dyDescent="0.3">
      <c r="B274" s="168" t="s">
        <v>1908</v>
      </c>
      <c r="C274" s="161">
        <v>1.575</v>
      </c>
      <c r="D274" s="158"/>
      <c r="E274" s="168"/>
      <c r="F274" s="161"/>
      <c r="G274" s="158"/>
      <c r="H274" s="168"/>
      <c r="I274" s="161"/>
      <c r="J274" s="158"/>
      <c r="K274" s="168"/>
      <c r="L274" s="161"/>
    </row>
    <row r="275" spans="2:12" x14ac:dyDescent="0.3">
      <c r="B275" s="168" t="s">
        <v>1621</v>
      </c>
      <c r="C275" s="161">
        <v>0.6</v>
      </c>
      <c r="D275" s="158"/>
      <c r="E275" s="168"/>
      <c r="F275" s="161"/>
      <c r="G275" s="158"/>
      <c r="H275" s="168"/>
      <c r="I275" s="161"/>
      <c r="J275" s="158"/>
      <c r="K275" s="168"/>
      <c r="L275" s="161"/>
    </row>
    <row r="276" spans="2:12" x14ac:dyDescent="0.3">
      <c r="B276" s="168" t="s">
        <v>1909</v>
      </c>
      <c r="C276" s="161">
        <v>0.7</v>
      </c>
      <c r="D276" s="158"/>
      <c r="E276" s="168"/>
      <c r="F276" s="161"/>
      <c r="G276" s="158"/>
      <c r="H276" s="168"/>
      <c r="I276" s="161"/>
      <c r="J276" s="158"/>
      <c r="K276" s="168"/>
      <c r="L276" s="161"/>
    </row>
    <row r="277" spans="2:12" x14ac:dyDescent="0.3">
      <c r="B277" s="168" t="s">
        <v>1622</v>
      </c>
      <c r="C277" s="161">
        <v>0.625</v>
      </c>
      <c r="D277" s="158"/>
      <c r="E277" s="168"/>
      <c r="F277" s="161"/>
      <c r="G277" s="158"/>
      <c r="H277" s="168"/>
      <c r="I277" s="161"/>
      <c r="J277" s="158"/>
      <c r="K277" s="168"/>
      <c r="L277" s="161"/>
    </row>
    <row r="278" spans="2:12" x14ac:dyDescent="0.3">
      <c r="B278" s="168" t="s">
        <v>1910</v>
      </c>
      <c r="C278" s="161">
        <v>0.75</v>
      </c>
      <c r="D278" s="158"/>
      <c r="E278" s="168"/>
      <c r="F278" s="161"/>
      <c r="G278" s="158"/>
      <c r="H278" s="168"/>
      <c r="I278" s="161"/>
      <c r="J278" s="158"/>
      <c r="K278" s="168"/>
      <c r="L278" s="161"/>
    </row>
    <row r="279" spans="2:12" x14ac:dyDescent="0.3">
      <c r="B279" s="168" t="s">
        <v>1623</v>
      </c>
      <c r="C279" s="161">
        <v>0.8</v>
      </c>
      <c r="D279" s="158"/>
      <c r="E279" s="168"/>
      <c r="F279" s="161"/>
      <c r="G279" s="158"/>
      <c r="H279" s="168"/>
      <c r="I279" s="161"/>
      <c r="J279" s="158"/>
      <c r="K279" s="168"/>
      <c r="L279" s="161"/>
    </row>
    <row r="280" spans="2:12" x14ac:dyDescent="0.3">
      <c r="B280" s="168" t="s">
        <v>1624</v>
      </c>
      <c r="C280" s="161">
        <v>0.9</v>
      </c>
      <c r="D280" s="158"/>
      <c r="E280" s="168"/>
      <c r="F280" s="161"/>
      <c r="G280" s="158"/>
      <c r="H280" s="168"/>
      <c r="I280" s="161"/>
      <c r="J280" s="158"/>
      <c r="K280" s="168"/>
      <c r="L280" s="161"/>
    </row>
    <row r="281" spans="2:12" x14ac:dyDescent="0.3">
      <c r="B281" s="168" t="s">
        <v>1625</v>
      </c>
      <c r="C281" s="161">
        <v>1.0249999999999999</v>
      </c>
      <c r="D281" s="158"/>
      <c r="E281" s="168"/>
      <c r="F281" s="161"/>
      <c r="G281" s="158"/>
      <c r="H281" s="168"/>
      <c r="I281" s="161"/>
      <c r="J281" s="158"/>
      <c r="K281" s="168"/>
      <c r="L281" s="161"/>
    </row>
    <row r="282" spans="2:12" x14ac:dyDescent="0.3">
      <c r="B282" s="168" t="s">
        <v>1626</v>
      </c>
      <c r="C282" s="161">
        <v>1.125</v>
      </c>
      <c r="D282" s="158"/>
      <c r="E282" s="168"/>
      <c r="F282" s="161"/>
      <c r="G282" s="158"/>
      <c r="H282" s="168"/>
      <c r="I282" s="161"/>
      <c r="J282" s="158"/>
      <c r="K282" s="168"/>
      <c r="L282" s="161"/>
    </row>
    <row r="283" spans="2:12" x14ac:dyDescent="0.3">
      <c r="B283" s="168" t="s">
        <v>1627</v>
      </c>
      <c r="C283" s="161">
        <v>2.5000000000000001E-2</v>
      </c>
      <c r="D283" s="158"/>
      <c r="E283" s="168"/>
      <c r="F283" s="161"/>
      <c r="G283" s="158"/>
      <c r="H283" s="168"/>
      <c r="I283" s="161"/>
      <c r="J283" s="158"/>
      <c r="K283" s="168"/>
      <c r="L283" s="161"/>
    </row>
    <row r="284" spans="2:12" x14ac:dyDescent="0.3">
      <c r="B284" s="168" t="s">
        <v>438</v>
      </c>
      <c r="C284" s="161">
        <v>0.05</v>
      </c>
      <c r="D284" s="158"/>
      <c r="E284" s="168"/>
      <c r="F284" s="161"/>
      <c r="G284" s="158"/>
      <c r="H284" s="168"/>
      <c r="I284" s="161"/>
      <c r="J284" s="158"/>
      <c r="K284" s="168"/>
      <c r="L284" s="161"/>
    </row>
    <row r="285" spans="2:12" x14ac:dyDescent="0.3">
      <c r="B285" s="168" t="s">
        <v>1628</v>
      </c>
      <c r="C285" s="161">
        <v>0.1</v>
      </c>
      <c r="D285" s="158"/>
      <c r="E285" s="168"/>
      <c r="F285" s="161"/>
      <c r="G285" s="158"/>
      <c r="H285" s="168"/>
      <c r="I285" s="161"/>
      <c r="J285" s="158"/>
      <c r="K285" s="168"/>
      <c r="L285" s="161"/>
    </row>
    <row r="286" spans="2:12" x14ac:dyDescent="0.3">
      <c r="B286" s="168" t="s">
        <v>440</v>
      </c>
      <c r="C286" s="161">
        <v>0.2</v>
      </c>
      <c r="D286" s="158"/>
      <c r="E286" s="168"/>
      <c r="F286" s="161"/>
      <c r="G286" s="158"/>
      <c r="H286" s="168"/>
      <c r="I286" s="161"/>
      <c r="J286" s="158"/>
      <c r="K286" s="168"/>
      <c r="L286" s="161"/>
    </row>
    <row r="287" spans="2:12" x14ac:dyDescent="0.3">
      <c r="B287" s="168" t="s">
        <v>1629</v>
      </c>
      <c r="C287" s="161">
        <v>0.25</v>
      </c>
      <c r="D287" s="158"/>
      <c r="E287" s="168"/>
      <c r="F287" s="161"/>
      <c r="G287" s="158"/>
      <c r="H287" s="168"/>
      <c r="I287" s="161"/>
      <c r="J287" s="158"/>
      <c r="K287" s="168"/>
      <c r="L287" s="161"/>
    </row>
    <row r="288" spans="2:12" x14ac:dyDescent="0.3">
      <c r="B288" s="168" t="s">
        <v>1379</v>
      </c>
      <c r="C288" s="161">
        <v>0.3</v>
      </c>
      <c r="D288" s="158"/>
      <c r="E288" s="168"/>
      <c r="F288" s="161"/>
      <c r="G288" s="158"/>
      <c r="H288" s="168"/>
      <c r="I288" s="161"/>
      <c r="J288" s="158"/>
      <c r="K288" s="168"/>
      <c r="L288" s="161"/>
    </row>
    <row r="289" spans="2:18" x14ac:dyDescent="0.3">
      <c r="B289" s="168"/>
      <c r="C289" s="161"/>
      <c r="D289" s="158"/>
      <c r="E289" s="168"/>
      <c r="F289" s="161"/>
      <c r="G289" s="158"/>
      <c r="H289" s="168"/>
      <c r="I289" s="161"/>
      <c r="J289" s="158"/>
      <c r="K289" s="168"/>
      <c r="L289" s="161"/>
    </row>
    <row r="290" spans="2:18" x14ac:dyDescent="0.3">
      <c r="B290" s="168"/>
      <c r="C290" s="161"/>
      <c r="D290" s="158"/>
      <c r="E290" s="168"/>
      <c r="F290" s="161"/>
      <c r="G290" s="158"/>
      <c r="H290" s="168"/>
      <c r="I290" s="161"/>
      <c r="J290" s="158"/>
      <c r="K290" s="168"/>
      <c r="L290" s="161"/>
    </row>
    <row r="291" spans="2:18" x14ac:dyDescent="0.3">
      <c r="B291" s="168"/>
      <c r="C291" s="161"/>
      <c r="D291" s="158"/>
      <c r="E291" s="168"/>
      <c r="F291" s="161"/>
      <c r="G291" s="158"/>
      <c r="H291" s="168"/>
      <c r="I291" s="161"/>
      <c r="J291" s="158"/>
      <c r="K291" s="168"/>
      <c r="L291" s="161"/>
    </row>
    <row r="292" spans="2:18" x14ac:dyDescent="0.3">
      <c r="B292" s="168"/>
      <c r="C292" s="161"/>
      <c r="D292" s="158"/>
      <c r="E292" s="168"/>
      <c r="F292" s="161"/>
      <c r="G292" s="158"/>
      <c r="H292" s="168"/>
      <c r="I292" s="161"/>
      <c r="J292" s="158"/>
      <c r="K292" s="168"/>
      <c r="L292" s="161"/>
    </row>
    <row r="293" spans="2:18" s="1" customFormat="1" x14ac:dyDescent="0.3">
      <c r="B293" s="3"/>
      <c r="C293"/>
      <c r="D293"/>
      <c r="E293" s="3"/>
      <c r="F293"/>
      <c r="G293"/>
      <c r="H293" s="3"/>
      <c r="I293"/>
      <c r="J293"/>
      <c r="K293" s="3"/>
      <c r="L293"/>
      <c r="M293"/>
      <c r="N293"/>
      <c r="O293"/>
      <c r="P293"/>
      <c r="R293" s="175"/>
    </row>
    <row r="296" spans="2:18" ht="15.6" x14ac:dyDescent="0.3">
      <c r="B296" s="353" t="s">
        <v>1655</v>
      </c>
      <c r="C296" s="355"/>
      <c r="D296" s="355"/>
      <c r="E296" s="355"/>
      <c r="F296" s="355"/>
      <c r="G296" s="355"/>
      <c r="H296" s="355"/>
      <c r="I296" s="355"/>
      <c r="J296" s="355"/>
      <c r="K296" s="355"/>
      <c r="L296" s="354"/>
    </row>
    <row r="297" spans="2:18" ht="15.6" x14ac:dyDescent="0.3">
      <c r="B297" s="355" t="s">
        <v>1482</v>
      </c>
      <c r="C297" s="355"/>
      <c r="D297" s="158"/>
      <c r="E297" s="355" t="s">
        <v>1483</v>
      </c>
      <c r="F297" s="355"/>
      <c r="G297" s="158"/>
      <c r="H297" s="355" t="s">
        <v>1484</v>
      </c>
      <c r="I297" s="355"/>
      <c r="J297" s="158"/>
      <c r="K297" s="355" t="s">
        <v>1485</v>
      </c>
      <c r="L297" s="355"/>
    </row>
    <row r="298" spans="2:18" x14ac:dyDescent="0.3">
      <c r="B298" s="159" t="s">
        <v>1486</v>
      </c>
      <c r="C298" s="159" t="s">
        <v>1487</v>
      </c>
      <c r="D298" s="174"/>
      <c r="E298" s="159" t="s">
        <v>1486</v>
      </c>
      <c r="F298" s="159" t="s">
        <v>1487</v>
      </c>
      <c r="G298" s="174"/>
      <c r="H298" s="159" t="s">
        <v>1486</v>
      </c>
      <c r="I298" s="159" t="s">
        <v>1487</v>
      </c>
      <c r="J298" s="174"/>
      <c r="K298" s="159" t="s">
        <v>1486</v>
      </c>
      <c r="L298" s="159" t="s">
        <v>1487</v>
      </c>
      <c r="M298" s="1"/>
      <c r="N298" s="1"/>
      <c r="O298" s="1"/>
      <c r="P298" s="1"/>
    </row>
    <row r="299" spans="2:18" x14ac:dyDescent="0.3">
      <c r="B299" s="168"/>
      <c r="C299" s="161"/>
      <c r="D299" s="158"/>
      <c r="E299" s="168"/>
      <c r="F299" s="161"/>
      <c r="G299" s="158"/>
      <c r="H299" s="168"/>
      <c r="I299" s="161"/>
      <c r="J299" s="158"/>
      <c r="K299" s="168"/>
      <c r="L299" s="161"/>
    </row>
    <row r="300" spans="2:18" x14ac:dyDescent="0.3">
      <c r="B300" s="168" t="s">
        <v>1631</v>
      </c>
      <c r="C300" s="161">
        <v>0.2</v>
      </c>
      <c r="D300" s="158"/>
      <c r="E300" s="168" t="s">
        <v>1631</v>
      </c>
      <c r="F300" s="161">
        <v>0.2</v>
      </c>
      <c r="G300" s="158"/>
      <c r="H300" s="168" t="s">
        <v>1631</v>
      </c>
      <c r="I300" s="161">
        <v>0.2</v>
      </c>
      <c r="J300" s="158"/>
      <c r="K300" s="168" t="s">
        <v>1631</v>
      </c>
      <c r="L300" s="161">
        <v>0.2</v>
      </c>
    </row>
    <row r="301" spans="2:18" x14ac:dyDescent="0.3">
      <c r="B301" s="168" t="s">
        <v>1911</v>
      </c>
      <c r="C301" s="161">
        <v>0.05</v>
      </c>
      <c r="D301" s="158"/>
      <c r="E301" s="168" t="s">
        <v>1911</v>
      </c>
      <c r="F301" s="161">
        <v>0.05</v>
      </c>
      <c r="G301" s="158"/>
      <c r="H301" s="168" t="s">
        <v>1632</v>
      </c>
      <c r="I301" s="161">
        <v>0.2</v>
      </c>
      <c r="J301" s="158"/>
      <c r="K301" s="168" t="s">
        <v>1911</v>
      </c>
      <c r="L301" s="161">
        <v>0.05</v>
      </c>
    </row>
    <row r="302" spans="2:18" x14ac:dyDescent="0.3">
      <c r="B302" s="168" t="s">
        <v>1633</v>
      </c>
      <c r="C302" s="161">
        <v>0.1</v>
      </c>
      <c r="D302" s="158"/>
      <c r="E302" s="168" t="s">
        <v>1644</v>
      </c>
      <c r="F302" s="161">
        <v>0.1</v>
      </c>
      <c r="G302" s="158"/>
      <c r="H302" s="168" t="s">
        <v>1634</v>
      </c>
      <c r="I302" s="161">
        <v>0.1</v>
      </c>
      <c r="J302" s="158"/>
      <c r="K302" s="168" t="s">
        <v>1635</v>
      </c>
      <c r="L302" s="161">
        <v>0.3</v>
      </c>
    </row>
    <row r="303" spans="2:18" x14ac:dyDescent="0.3">
      <c r="B303" s="168" t="s">
        <v>1806</v>
      </c>
      <c r="C303" s="161">
        <v>0.1</v>
      </c>
      <c r="D303" s="158"/>
      <c r="E303" s="168" t="s">
        <v>1922</v>
      </c>
      <c r="F303" s="161">
        <v>0.1</v>
      </c>
      <c r="G303" s="158"/>
      <c r="H303" s="168" t="s">
        <v>1650</v>
      </c>
      <c r="I303" s="161">
        <v>0.4</v>
      </c>
      <c r="J303" s="158"/>
      <c r="K303" s="168" t="s">
        <v>1934</v>
      </c>
      <c r="L303" s="161">
        <v>0.15</v>
      </c>
    </row>
    <row r="304" spans="2:18" x14ac:dyDescent="0.3">
      <c r="B304" s="168" t="s">
        <v>1636</v>
      </c>
      <c r="C304" s="161">
        <v>0.15</v>
      </c>
      <c r="D304" s="158"/>
      <c r="E304" s="168" t="s">
        <v>1637</v>
      </c>
      <c r="F304" s="161">
        <v>0.5</v>
      </c>
      <c r="G304" s="158"/>
      <c r="H304" s="168" t="s">
        <v>1960</v>
      </c>
      <c r="I304" s="161">
        <v>1.5</v>
      </c>
      <c r="J304" s="158"/>
      <c r="K304" s="168" t="s">
        <v>1640</v>
      </c>
      <c r="L304" s="161">
        <v>0.3</v>
      </c>
    </row>
    <row r="305" spans="2:12" x14ac:dyDescent="0.3">
      <c r="B305" s="168" t="s">
        <v>1639</v>
      </c>
      <c r="C305" s="161">
        <v>0.15</v>
      </c>
      <c r="D305" s="158"/>
      <c r="E305" s="168" t="s">
        <v>1923</v>
      </c>
      <c r="F305" s="161">
        <v>0.1</v>
      </c>
      <c r="G305" s="158"/>
      <c r="H305" s="168" t="s">
        <v>1911</v>
      </c>
      <c r="I305" s="161">
        <v>0.05</v>
      </c>
      <c r="J305" s="158"/>
      <c r="K305" s="168" t="s">
        <v>1935</v>
      </c>
      <c r="L305" s="161">
        <v>0.15</v>
      </c>
    </row>
    <row r="306" spans="2:12" x14ac:dyDescent="0.3">
      <c r="B306" s="168" t="s">
        <v>1912</v>
      </c>
      <c r="C306" s="161">
        <v>0.3</v>
      </c>
      <c r="D306" s="158"/>
      <c r="E306" s="168" t="s">
        <v>1641</v>
      </c>
      <c r="F306" s="161">
        <v>0.25</v>
      </c>
      <c r="G306" s="158"/>
      <c r="H306" s="168" t="s">
        <v>1638</v>
      </c>
      <c r="I306" s="161">
        <v>0.1</v>
      </c>
      <c r="J306" s="158"/>
      <c r="K306" s="168" t="s">
        <v>1936</v>
      </c>
      <c r="L306" s="161">
        <v>0.5</v>
      </c>
    </row>
    <row r="307" spans="2:12" x14ac:dyDescent="0.3">
      <c r="B307" s="168" t="s">
        <v>1913</v>
      </c>
      <c r="C307" s="161">
        <v>0.6</v>
      </c>
      <c r="D307" s="158"/>
      <c r="E307" s="168" t="s">
        <v>1643</v>
      </c>
      <c r="F307" s="161">
        <v>0.1</v>
      </c>
      <c r="G307" s="158"/>
      <c r="H307" s="168" t="s">
        <v>1961</v>
      </c>
      <c r="I307" s="161">
        <v>0.1</v>
      </c>
      <c r="J307" s="158"/>
      <c r="K307" s="168" t="s">
        <v>1647</v>
      </c>
      <c r="L307" s="161">
        <v>0.2</v>
      </c>
    </row>
    <row r="308" spans="2:12" x14ac:dyDescent="0.3">
      <c r="B308" s="168" t="s">
        <v>1914</v>
      </c>
      <c r="C308" s="161">
        <v>0.5</v>
      </c>
      <c r="D308" s="158"/>
      <c r="E308" s="168" t="s">
        <v>1645</v>
      </c>
      <c r="F308" s="161">
        <v>0.3</v>
      </c>
      <c r="G308" s="158"/>
      <c r="H308" s="168" t="s">
        <v>1642</v>
      </c>
      <c r="I308" s="161">
        <v>0.2</v>
      </c>
      <c r="J308" s="158"/>
      <c r="K308" s="168" t="s">
        <v>1649</v>
      </c>
      <c r="L308" s="161">
        <v>0.1</v>
      </c>
    </row>
    <row r="309" spans="2:12" x14ac:dyDescent="0.3">
      <c r="B309" s="168" t="s">
        <v>403</v>
      </c>
      <c r="C309" s="161">
        <v>2.5000000000000001E-2</v>
      </c>
      <c r="D309" s="158"/>
      <c r="E309" s="168"/>
      <c r="F309" s="161"/>
      <c r="G309" s="158"/>
      <c r="H309" s="168" t="s">
        <v>1962</v>
      </c>
      <c r="I309" s="161">
        <v>0.4</v>
      </c>
      <c r="J309" s="158"/>
      <c r="K309" s="168" t="s">
        <v>1937</v>
      </c>
      <c r="L309" s="161">
        <v>0.05</v>
      </c>
    </row>
    <row r="310" spans="2:12" x14ac:dyDescent="0.3">
      <c r="B310" s="168"/>
      <c r="C310" s="161"/>
      <c r="D310" s="158"/>
      <c r="E310" s="168"/>
      <c r="F310" s="161"/>
      <c r="G310" s="158"/>
      <c r="H310" s="168" t="s">
        <v>1963</v>
      </c>
      <c r="I310" s="161">
        <v>0.2</v>
      </c>
      <c r="J310" s="158"/>
      <c r="K310" s="168" t="s">
        <v>1651</v>
      </c>
      <c r="L310" s="161">
        <v>0.1</v>
      </c>
    </row>
    <row r="311" spans="2:12" x14ac:dyDescent="0.3">
      <c r="B311" s="168"/>
      <c r="C311" s="161"/>
      <c r="D311" s="158"/>
      <c r="E311" s="168"/>
      <c r="F311" s="161"/>
      <c r="G311" s="158"/>
      <c r="H311" s="168" t="s">
        <v>1644</v>
      </c>
      <c r="I311" s="161">
        <v>0.05</v>
      </c>
      <c r="J311" s="158"/>
      <c r="K311" s="168" t="s">
        <v>1938</v>
      </c>
      <c r="L311" s="161">
        <v>0.15</v>
      </c>
    </row>
    <row r="312" spans="2:12" x14ac:dyDescent="0.3">
      <c r="B312" s="168"/>
      <c r="C312" s="161"/>
      <c r="D312" s="158"/>
      <c r="E312" s="168"/>
      <c r="F312" s="161"/>
      <c r="G312" s="158"/>
      <c r="H312" s="168" t="s">
        <v>1964</v>
      </c>
      <c r="I312" s="161">
        <v>0.1</v>
      </c>
      <c r="J312" s="158"/>
      <c r="K312" s="168" t="s">
        <v>1939</v>
      </c>
      <c r="L312" s="161">
        <v>0.3</v>
      </c>
    </row>
    <row r="313" spans="2:12" x14ac:dyDescent="0.3">
      <c r="B313" s="168"/>
      <c r="C313" s="161"/>
      <c r="D313" s="158"/>
      <c r="E313" s="168"/>
      <c r="F313" s="161"/>
      <c r="G313" s="158"/>
      <c r="H313" s="168" t="s">
        <v>1648</v>
      </c>
      <c r="I313" s="161">
        <v>0.25</v>
      </c>
      <c r="J313" s="158"/>
      <c r="K313" s="168" t="s">
        <v>1940</v>
      </c>
      <c r="L313" s="161">
        <v>0.4</v>
      </c>
    </row>
    <row r="314" spans="2:12" x14ac:dyDescent="0.3">
      <c r="B314" s="168"/>
      <c r="C314" s="161"/>
      <c r="D314" s="158"/>
      <c r="E314" s="168"/>
      <c r="F314" s="161"/>
      <c r="G314" s="158"/>
      <c r="H314" s="168"/>
      <c r="I314" s="161"/>
      <c r="J314" s="158"/>
      <c r="K314" s="168" t="s">
        <v>1941</v>
      </c>
      <c r="L314" s="161">
        <v>0.25</v>
      </c>
    </row>
    <row r="315" spans="2:12" x14ac:dyDescent="0.3">
      <c r="B315" s="168"/>
      <c r="C315" s="161"/>
      <c r="D315" s="158"/>
      <c r="E315" s="168"/>
      <c r="F315" s="161"/>
      <c r="G315" s="158"/>
      <c r="H315" s="168"/>
      <c r="I315" s="161"/>
      <c r="J315" s="158"/>
      <c r="K315" s="168" t="s">
        <v>1942</v>
      </c>
      <c r="L315" s="161">
        <v>0.2</v>
      </c>
    </row>
    <row r="316" spans="2:12" x14ac:dyDescent="0.3">
      <c r="B316" s="168"/>
      <c r="C316" s="161"/>
      <c r="D316" s="158"/>
      <c r="E316" s="168"/>
      <c r="F316" s="161"/>
      <c r="G316" s="158"/>
      <c r="H316" s="168"/>
      <c r="I316" s="161"/>
      <c r="J316" s="158"/>
      <c r="K316" s="168" t="s">
        <v>1646</v>
      </c>
      <c r="L316" s="161">
        <v>0.2</v>
      </c>
    </row>
    <row r="317" spans="2:12" x14ac:dyDescent="0.3">
      <c r="B317" s="168"/>
      <c r="C317" s="161"/>
      <c r="D317" s="158"/>
      <c r="E317" s="168"/>
      <c r="F317" s="161"/>
      <c r="G317" s="158"/>
      <c r="H317" s="168"/>
      <c r="I317" s="161"/>
      <c r="J317" s="158"/>
      <c r="K317" s="168" t="s">
        <v>144</v>
      </c>
      <c r="L317" s="161">
        <v>0.2</v>
      </c>
    </row>
    <row r="318" spans="2:12" x14ac:dyDescent="0.3">
      <c r="B318" s="168"/>
      <c r="C318" s="161"/>
      <c r="D318" s="158"/>
      <c r="E318" s="168"/>
      <c r="F318" s="161"/>
      <c r="G318" s="158"/>
      <c r="H318" s="168"/>
      <c r="I318" s="161"/>
      <c r="J318" s="158"/>
      <c r="K318" s="168" t="s">
        <v>1652</v>
      </c>
      <c r="L318" s="161">
        <v>7.4999999999999997E-2</v>
      </c>
    </row>
    <row r="319" spans="2:12" x14ac:dyDescent="0.3">
      <c r="B319" s="168"/>
      <c r="C319" s="161"/>
      <c r="D319" s="158"/>
      <c r="E319" s="168"/>
      <c r="F319" s="161"/>
      <c r="G319" s="158"/>
      <c r="H319" s="168"/>
      <c r="I319" s="161"/>
      <c r="J319" s="158"/>
      <c r="K319" s="168" t="s">
        <v>1653</v>
      </c>
      <c r="L319" s="161">
        <v>0.05</v>
      </c>
    </row>
    <row r="320" spans="2:12" x14ac:dyDescent="0.3">
      <c r="B320" s="168"/>
      <c r="C320" s="161"/>
      <c r="D320" s="158"/>
      <c r="E320" s="168"/>
      <c r="F320" s="161"/>
      <c r="G320" s="158"/>
      <c r="H320" s="168"/>
      <c r="I320" s="161"/>
      <c r="J320" s="158"/>
      <c r="K320" s="168" t="s">
        <v>1654</v>
      </c>
      <c r="L320" s="161">
        <v>0.05</v>
      </c>
    </row>
    <row r="321" spans="2:12" x14ac:dyDescent="0.3">
      <c r="B321" s="168"/>
      <c r="C321" s="161"/>
      <c r="D321" s="158"/>
      <c r="E321" s="168"/>
      <c r="F321" s="161"/>
      <c r="G321" s="158"/>
      <c r="H321" s="168"/>
      <c r="I321" s="161"/>
      <c r="J321" s="158"/>
      <c r="K321" s="168" t="s">
        <v>1943</v>
      </c>
      <c r="L321" s="161">
        <v>0.1</v>
      </c>
    </row>
    <row r="322" spans="2:12" x14ac:dyDescent="0.3">
      <c r="B322" s="168"/>
      <c r="C322" s="161"/>
      <c r="D322" s="158"/>
      <c r="E322" s="168"/>
      <c r="F322" s="161"/>
      <c r="G322" s="158"/>
      <c r="H322" s="168"/>
      <c r="I322" s="161"/>
      <c r="J322" s="158"/>
      <c r="K322" s="168" t="s">
        <v>1944</v>
      </c>
      <c r="L322" s="161">
        <v>0.2</v>
      </c>
    </row>
    <row r="323" spans="2:12" x14ac:dyDescent="0.3">
      <c r="B323" s="168"/>
      <c r="C323" s="161"/>
      <c r="D323" s="158"/>
      <c r="E323" s="168"/>
      <c r="F323" s="161"/>
      <c r="G323" s="158"/>
      <c r="H323" s="168"/>
      <c r="I323" s="161"/>
      <c r="J323" s="158"/>
      <c r="K323" s="168" t="s">
        <v>1945</v>
      </c>
      <c r="L323" s="161">
        <v>0.3</v>
      </c>
    </row>
    <row r="324" spans="2:12" x14ac:dyDescent="0.3">
      <c r="B324" s="168"/>
      <c r="C324" s="161"/>
      <c r="D324" s="158"/>
      <c r="E324" s="168"/>
      <c r="F324" s="161"/>
      <c r="G324" s="158"/>
      <c r="H324" s="168"/>
      <c r="I324" s="161"/>
      <c r="J324" s="158"/>
      <c r="K324" s="168"/>
      <c r="L324" s="161"/>
    </row>
    <row r="325" spans="2:12" x14ac:dyDescent="0.3">
      <c r="B325" s="168"/>
      <c r="C325" s="161"/>
      <c r="D325" s="158"/>
      <c r="E325" s="168"/>
      <c r="F325" s="161"/>
      <c r="G325" s="158"/>
      <c r="H325" s="168"/>
      <c r="I325" s="161"/>
      <c r="J325" s="158"/>
      <c r="K325" s="168"/>
      <c r="L325" s="161"/>
    </row>
    <row r="326" spans="2:12" x14ac:dyDescent="0.3">
      <c r="B326" s="168"/>
      <c r="C326" s="161"/>
      <c r="D326" s="158"/>
      <c r="E326" s="168"/>
      <c r="F326" s="161"/>
      <c r="G326" s="158"/>
      <c r="H326" s="168"/>
      <c r="I326" s="161"/>
      <c r="J326" s="158"/>
      <c r="K326" s="168"/>
      <c r="L326" s="161"/>
    </row>
    <row r="327" spans="2:12" x14ac:dyDescent="0.3">
      <c r="B327" s="168"/>
      <c r="C327" s="161"/>
      <c r="D327" s="158"/>
      <c r="E327" s="168"/>
      <c r="F327" s="161"/>
      <c r="G327" s="158"/>
      <c r="H327" s="168"/>
      <c r="I327" s="161"/>
      <c r="J327" s="158"/>
      <c r="K327" s="168"/>
      <c r="L327" s="161"/>
    </row>
    <row r="328" spans="2:12" x14ac:dyDescent="0.3">
      <c r="B328" s="168"/>
      <c r="C328" s="161"/>
      <c r="D328" s="158"/>
      <c r="E328" s="168"/>
      <c r="F328" s="161"/>
      <c r="G328" s="158"/>
      <c r="H328" s="168"/>
      <c r="I328" s="161"/>
      <c r="J328" s="158"/>
      <c r="K328" s="168"/>
      <c r="L328" s="161"/>
    </row>
    <row r="332" spans="2:12" ht="15.6" x14ac:dyDescent="0.3">
      <c r="B332" s="353" t="s">
        <v>1659</v>
      </c>
      <c r="C332" s="355"/>
      <c r="D332" s="354"/>
    </row>
    <row r="333" spans="2:12" ht="27" x14ac:dyDescent="0.3">
      <c r="B333" s="171" t="s">
        <v>1656</v>
      </c>
      <c r="C333" s="165" t="s">
        <v>1657</v>
      </c>
      <c r="D333" s="165" t="s">
        <v>1658</v>
      </c>
    </row>
    <row r="334" spans="2:12" x14ac:dyDescent="0.3">
      <c r="B334" s="170"/>
      <c r="C334" s="164"/>
      <c r="D334" s="161"/>
    </row>
    <row r="335" spans="2:12" x14ac:dyDescent="0.3">
      <c r="B335" s="170" t="s">
        <v>1774</v>
      </c>
      <c r="C335" s="164" t="s">
        <v>1773</v>
      </c>
      <c r="D335" s="161">
        <v>0</v>
      </c>
    </row>
    <row r="336" spans="2:12" x14ac:dyDescent="0.3">
      <c r="B336" s="170" t="s">
        <v>1775</v>
      </c>
      <c r="C336" s="164" t="s">
        <v>1773</v>
      </c>
      <c r="D336" s="161">
        <v>0</v>
      </c>
    </row>
    <row r="337" spans="2:4" x14ac:dyDescent="0.3">
      <c r="B337" s="170" t="s">
        <v>1776</v>
      </c>
      <c r="C337" s="164" t="s">
        <v>1773</v>
      </c>
      <c r="D337" s="161">
        <v>0</v>
      </c>
    </row>
    <row r="338" spans="2:4" x14ac:dyDescent="0.3">
      <c r="B338" s="170" t="s">
        <v>1777</v>
      </c>
      <c r="C338" s="164" t="s">
        <v>1773</v>
      </c>
      <c r="D338" s="161">
        <v>0</v>
      </c>
    </row>
    <row r="339" spans="2:4" x14ac:dyDescent="0.3">
      <c r="B339" s="170" t="s">
        <v>1802</v>
      </c>
      <c r="C339" s="164" t="s">
        <v>1760</v>
      </c>
      <c r="D339" s="161">
        <v>0</v>
      </c>
    </row>
    <row r="340" spans="2:4" x14ac:dyDescent="0.3">
      <c r="B340" s="170" t="s">
        <v>1803</v>
      </c>
      <c r="C340" s="164" t="s">
        <v>1773</v>
      </c>
      <c r="D340" s="161">
        <v>1</v>
      </c>
    </row>
    <row r="341" spans="2:4" x14ac:dyDescent="0.3">
      <c r="B341" s="170" t="s">
        <v>1804</v>
      </c>
      <c r="C341" s="164" t="s">
        <v>1760</v>
      </c>
      <c r="D341" s="161">
        <v>0</v>
      </c>
    </row>
    <row r="342" spans="2:4" x14ac:dyDescent="0.3">
      <c r="B342" s="170" t="s">
        <v>1805</v>
      </c>
      <c r="C342" s="164" t="s">
        <v>1773</v>
      </c>
      <c r="D342" s="161">
        <v>1</v>
      </c>
    </row>
    <row r="343" spans="2:4" x14ac:dyDescent="0.3">
      <c r="B343" s="170" t="s">
        <v>1778</v>
      </c>
      <c r="C343" s="164" t="s">
        <v>1773</v>
      </c>
      <c r="D343" s="161">
        <v>1</v>
      </c>
    </row>
    <row r="344" spans="2:4" x14ac:dyDescent="0.3">
      <c r="B344" s="170" t="s">
        <v>1779</v>
      </c>
      <c r="C344" s="164" t="s">
        <v>1773</v>
      </c>
      <c r="D344" s="161">
        <v>1</v>
      </c>
    </row>
    <row r="345" spans="2:4" x14ac:dyDescent="0.3">
      <c r="B345" s="170" t="s">
        <v>1780</v>
      </c>
      <c r="C345" s="164" t="s">
        <v>1773</v>
      </c>
      <c r="D345" s="161">
        <v>1</v>
      </c>
    </row>
    <row r="346" spans="2:4" x14ac:dyDescent="0.3">
      <c r="B346" s="170" t="s">
        <v>1781</v>
      </c>
      <c r="C346" s="164" t="s">
        <v>1773</v>
      </c>
      <c r="D346" s="161">
        <v>1</v>
      </c>
    </row>
    <row r="347" spans="2:4" x14ac:dyDescent="0.3">
      <c r="B347" s="170" t="s">
        <v>1782</v>
      </c>
      <c r="C347" s="164" t="s">
        <v>1773</v>
      </c>
      <c r="D347" s="161">
        <v>1</v>
      </c>
    </row>
    <row r="348" spans="2:4" x14ac:dyDescent="0.3">
      <c r="B348" s="170" t="s">
        <v>1783</v>
      </c>
      <c r="C348" s="164" t="s">
        <v>1760</v>
      </c>
      <c r="D348" s="161">
        <v>0</v>
      </c>
    </row>
    <row r="349" spans="2:4" x14ac:dyDescent="0.3">
      <c r="B349" s="170" t="s">
        <v>1784</v>
      </c>
      <c r="C349" s="164" t="s">
        <v>1773</v>
      </c>
      <c r="D349" s="161">
        <v>1</v>
      </c>
    </row>
    <row r="350" spans="2:4" x14ac:dyDescent="0.3">
      <c r="B350" s="170" t="s">
        <v>1785</v>
      </c>
      <c r="C350" s="164" t="s">
        <v>1760</v>
      </c>
      <c r="D350" s="161">
        <v>0</v>
      </c>
    </row>
    <row r="351" spans="2:4" x14ac:dyDescent="0.3">
      <c r="B351" s="170" t="s">
        <v>1786</v>
      </c>
      <c r="C351" s="164" t="s">
        <v>1773</v>
      </c>
      <c r="D351" s="161">
        <v>1</v>
      </c>
    </row>
    <row r="352" spans="2:4" x14ac:dyDescent="0.3">
      <c r="B352" s="170" t="s">
        <v>1787</v>
      </c>
      <c r="C352" s="164" t="s">
        <v>1773</v>
      </c>
      <c r="D352" s="161">
        <v>1</v>
      </c>
    </row>
    <row r="353" spans="2:4" x14ac:dyDescent="0.3">
      <c r="B353" s="170" t="s">
        <v>1788</v>
      </c>
      <c r="C353" s="164" t="s">
        <v>1773</v>
      </c>
      <c r="D353" s="161">
        <v>1</v>
      </c>
    </row>
    <row r="354" spans="2:4" x14ac:dyDescent="0.3">
      <c r="B354" s="170" t="s">
        <v>1789</v>
      </c>
      <c r="C354" s="164" t="s">
        <v>1773</v>
      </c>
      <c r="D354" s="161">
        <v>1</v>
      </c>
    </row>
    <row r="355" spans="2:4" x14ac:dyDescent="0.3">
      <c r="B355" s="170" t="s">
        <v>1790</v>
      </c>
      <c r="C355" s="164" t="s">
        <v>1773</v>
      </c>
      <c r="D355" s="161">
        <v>0</v>
      </c>
    </row>
    <row r="356" spans="2:4" x14ac:dyDescent="0.3">
      <c r="B356" s="170" t="s">
        <v>1791</v>
      </c>
      <c r="C356" s="164" t="s">
        <v>1773</v>
      </c>
      <c r="D356" s="161">
        <v>0</v>
      </c>
    </row>
    <row r="357" spans="2:4" x14ac:dyDescent="0.3">
      <c r="B357" s="170" t="s">
        <v>1792</v>
      </c>
      <c r="C357" s="164" t="s">
        <v>1773</v>
      </c>
      <c r="D357" s="161">
        <v>0</v>
      </c>
    </row>
    <row r="358" spans="2:4" x14ac:dyDescent="0.3">
      <c r="B358" s="170" t="s">
        <v>1793</v>
      </c>
      <c r="C358" s="164" t="s">
        <v>1773</v>
      </c>
      <c r="D358" s="161">
        <v>0</v>
      </c>
    </row>
    <row r="359" spans="2:4" x14ac:dyDescent="0.3">
      <c r="B359" s="170" t="s">
        <v>1794</v>
      </c>
      <c r="C359" s="164" t="s">
        <v>1773</v>
      </c>
      <c r="D359" s="161">
        <v>0</v>
      </c>
    </row>
    <row r="360" spans="2:4" x14ac:dyDescent="0.3">
      <c r="B360" s="170" t="s">
        <v>1795</v>
      </c>
      <c r="C360" s="164" t="s">
        <v>1760</v>
      </c>
      <c r="D360" s="161">
        <v>0</v>
      </c>
    </row>
    <row r="361" spans="2:4" x14ac:dyDescent="0.3">
      <c r="B361" s="170" t="s">
        <v>1796</v>
      </c>
      <c r="C361" s="164" t="s">
        <v>1773</v>
      </c>
      <c r="D361" s="161">
        <v>0</v>
      </c>
    </row>
    <row r="362" spans="2:4" x14ac:dyDescent="0.3">
      <c r="B362" s="170" t="s">
        <v>1797</v>
      </c>
      <c r="C362" s="164" t="s">
        <v>1760</v>
      </c>
      <c r="D362" s="161">
        <v>0</v>
      </c>
    </row>
    <row r="363" spans="2:4" x14ac:dyDescent="0.3">
      <c r="B363" s="170" t="s">
        <v>1798</v>
      </c>
      <c r="C363" s="164" t="s">
        <v>1760</v>
      </c>
      <c r="D363" s="161">
        <v>0</v>
      </c>
    </row>
    <row r="364" spans="2:4" x14ac:dyDescent="0.3">
      <c r="B364" s="170" t="s">
        <v>1799</v>
      </c>
      <c r="C364" s="164" t="s">
        <v>1773</v>
      </c>
      <c r="D364" s="161">
        <v>0</v>
      </c>
    </row>
    <row r="365" spans="2:4" x14ac:dyDescent="0.3">
      <c r="B365" s="170" t="s">
        <v>1800</v>
      </c>
      <c r="C365" s="164" t="s">
        <v>1773</v>
      </c>
      <c r="D365" s="161">
        <v>0</v>
      </c>
    </row>
    <row r="366" spans="2:4" x14ac:dyDescent="0.3">
      <c r="B366" s="170" t="s">
        <v>1801</v>
      </c>
      <c r="C366" s="164" t="s">
        <v>1773</v>
      </c>
      <c r="D366" s="161">
        <v>0</v>
      </c>
    </row>
    <row r="367" spans="2:4" x14ac:dyDescent="0.3">
      <c r="B367" s="170"/>
      <c r="C367" s="164"/>
      <c r="D367" s="161"/>
    </row>
    <row r="368" spans="2:4" x14ac:dyDescent="0.3">
      <c r="B368" s="170"/>
      <c r="C368" s="164"/>
      <c r="D368" s="161"/>
    </row>
    <row r="369" spans="2:4" x14ac:dyDescent="0.3">
      <c r="B369" s="170"/>
      <c r="C369" s="164"/>
      <c r="D369" s="161"/>
    </row>
    <row r="370" spans="2:4" x14ac:dyDescent="0.3">
      <c r="B370" s="170"/>
      <c r="C370" s="164"/>
      <c r="D370" s="161"/>
    </row>
    <row r="371" spans="2:4" x14ac:dyDescent="0.3">
      <c r="B371" s="170"/>
      <c r="C371" s="164"/>
      <c r="D371" s="161"/>
    </row>
    <row r="372" spans="2:4" x14ac:dyDescent="0.3">
      <c r="B372" s="170"/>
      <c r="C372" s="164"/>
      <c r="D372" s="161"/>
    </row>
    <row r="373" spans="2:4" x14ac:dyDescent="0.3">
      <c r="B373" s="170"/>
      <c r="C373" s="164"/>
      <c r="D373" s="161"/>
    </row>
  </sheetData>
  <sortState xmlns:xlrd2="http://schemas.microsoft.com/office/spreadsheetml/2017/richdata2" ref="B335:D370">
    <sortCondition ref="B335:B370"/>
  </sortState>
  <mergeCells count="42">
    <mergeCell ref="B98:P98"/>
    <mergeCell ref="B144:P144"/>
    <mergeCell ref="B1:L1"/>
    <mergeCell ref="B35:L35"/>
    <mergeCell ref="B74:L74"/>
    <mergeCell ref="J99:L99"/>
    <mergeCell ref="N99:P99"/>
    <mergeCell ref="B75:C75"/>
    <mergeCell ref="E75:F75"/>
    <mergeCell ref="H75:I75"/>
    <mergeCell ref="K75:L75"/>
    <mergeCell ref="B99:D99"/>
    <mergeCell ref="F99:H99"/>
    <mergeCell ref="B2:C2"/>
    <mergeCell ref="E2:F2"/>
    <mergeCell ref="H2:I2"/>
    <mergeCell ref="B332:D332"/>
    <mergeCell ref="B296:L296"/>
    <mergeCell ref="B220:L220"/>
    <mergeCell ref="B191:L191"/>
    <mergeCell ref="B221:C221"/>
    <mergeCell ref="E221:F221"/>
    <mergeCell ref="H221:I221"/>
    <mergeCell ref="K221:L221"/>
    <mergeCell ref="B297:C297"/>
    <mergeCell ref="E297:F297"/>
    <mergeCell ref="H297:I297"/>
    <mergeCell ref="K297:L297"/>
    <mergeCell ref="B145:D145"/>
    <mergeCell ref="F145:H145"/>
    <mergeCell ref="J145:L145"/>
    <mergeCell ref="N145:P145"/>
    <mergeCell ref="B192:C192"/>
    <mergeCell ref="E192:F192"/>
    <mergeCell ref="H192:I192"/>
    <mergeCell ref="K192:L192"/>
    <mergeCell ref="Q2:R2"/>
    <mergeCell ref="K2:L2"/>
    <mergeCell ref="B36:C36"/>
    <mergeCell ref="E36:F36"/>
    <mergeCell ref="H36:I36"/>
    <mergeCell ref="K36:L36"/>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E500"/>
  <sheetViews>
    <sheetView topLeftCell="J1" zoomScale="120" zoomScaleNormal="120" workbookViewId="0">
      <selection activeCell="AE18" sqref="AE18"/>
    </sheetView>
  </sheetViews>
  <sheetFormatPr defaultRowHeight="14.4" x14ac:dyDescent="0.3"/>
  <cols>
    <col min="1" max="1" width="9.109375" style="5"/>
    <col min="2" max="3" width="9.109375" style="3"/>
    <col min="4" max="4" width="11.109375" style="3" bestFit="1" customWidth="1"/>
    <col min="5" max="5" width="11.6640625" style="3" bestFit="1" customWidth="1"/>
    <col min="6" max="6" width="11.33203125" bestFit="1" customWidth="1"/>
    <col min="7" max="7" width="11.6640625" bestFit="1" customWidth="1"/>
    <col min="10" max="11" width="9.109375" style="5"/>
    <col min="12" max="12" width="9.109375"/>
    <col min="14" max="14" width="8.6640625" style="3"/>
    <col min="15" max="15" width="9.109375" style="3"/>
    <col min="17" max="17" width="8.6640625" style="3"/>
    <col min="18" max="18" width="9.109375" style="3"/>
    <col min="20" max="20" width="8.6640625" style="3"/>
    <col min="21" max="21" width="9.109375" style="3"/>
    <col min="23" max="23" width="8.6640625" style="3"/>
    <col min="24" max="24" width="11.109375" bestFit="1" customWidth="1"/>
    <col min="25" max="25" width="11.6640625" bestFit="1" customWidth="1"/>
    <col min="26" max="31" width="11.6640625" customWidth="1"/>
  </cols>
  <sheetData>
    <row r="1" spans="1:31" ht="15" x14ac:dyDescent="0.25">
      <c r="A1" s="6"/>
      <c r="B1" s="350" t="e">
        <f>INDEX(Data!$V$3:$V$38,MATCH('Coach Card'!$BR$9,Data!$G$3:$G$38,0))</f>
        <v>#N/A</v>
      </c>
      <c r="C1" s="350"/>
      <c r="D1" s="350" t="e">
        <f>IF('Coach Card'!$F$8&lt;&gt;"Open Team Acrobatic",INDEX(Data!$V$3:$V$38,MATCH('Coach Card'!$BR$9,Data!$G$3:$G$38,0)),"")</f>
        <v>#N/A</v>
      </c>
      <c r="E1" s="350"/>
      <c r="F1" s="350" t="s">
        <v>2037</v>
      </c>
      <c r="G1" s="350"/>
      <c r="J1" s="6"/>
      <c r="K1" s="6"/>
      <c r="L1" s="1"/>
      <c r="M1" s="350" t="s">
        <v>75</v>
      </c>
      <c r="N1" s="350"/>
      <c r="O1" s="1"/>
      <c r="P1" s="350" t="s">
        <v>76</v>
      </c>
      <c r="Q1" s="350"/>
      <c r="R1" s="1"/>
      <c r="S1" s="350" t="s">
        <v>77</v>
      </c>
      <c r="T1" s="350"/>
      <c r="U1" s="1"/>
      <c r="V1" s="350" t="s">
        <v>78</v>
      </c>
      <c r="W1" s="350"/>
      <c r="X1" s="350" t="s">
        <v>75</v>
      </c>
      <c r="Y1" s="350"/>
      <c r="Z1" s="350" t="s">
        <v>76</v>
      </c>
      <c r="AA1" s="350"/>
      <c r="AB1" s="350" t="s">
        <v>77</v>
      </c>
      <c r="AC1" s="350"/>
      <c r="AD1" s="350" t="s">
        <v>78</v>
      </c>
      <c r="AE1" s="350"/>
    </row>
    <row r="2" spans="1:31" ht="15" x14ac:dyDescent="0.25">
      <c r="A2" s="6" t="s">
        <v>1893</v>
      </c>
      <c r="B2" s="3" t="s">
        <v>68</v>
      </c>
      <c r="C2" s="3" t="s">
        <v>69</v>
      </c>
      <c r="D2" s="1" t="s">
        <v>70</v>
      </c>
      <c r="E2" s="1" t="s">
        <v>71</v>
      </c>
      <c r="F2" s="1" t="s">
        <v>70</v>
      </c>
      <c r="G2" s="1" t="s">
        <v>71</v>
      </c>
      <c r="L2" s="1" t="s">
        <v>1893</v>
      </c>
      <c r="M2" t="s">
        <v>68</v>
      </c>
      <c r="N2" s="3" t="s">
        <v>69</v>
      </c>
      <c r="O2" s="1" t="s">
        <v>1893</v>
      </c>
      <c r="P2" t="s">
        <v>68</v>
      </c>
      <c r="Q2" s="3" t="s">
        <v>69</v>
      </c>
      <c r="R2" s="1" t="s">
        <v>1893</v>
      </c>
      <c r="S2" t="s">
        <v>68</v>
      </c>
      <c r="T2" s="3" t="s">
        <v>69</v>
      </c>
      <c r="U2" s="1" t="s">
        <v>1893</v>
      </c>
      <c r="V2" t="s">
        <v>68</v>
      </c>
      <c r="W2" s="3" t="s">
        <v>69</v>
      </c>
      <c r="X2" t="s">
        <v>70</v>
      </c>
      <c r="Y2" t="s">
        <v>71</v>
      </c>
      <c r="Z2" t="s">
        <v>70</v>
      </c>
      <c r="AA2" t="s">
        <v>71</v>
      </c>
      <c r="AB2" t="s">
        <v>70</v>
      </c>
      <c r="AC2" t="s">
        <v>71</v>
      </c>
      <c r="AD2" t="s">
        <v>70</v>
      </c>
      <c r="AE2" t="s">
        <v>71</v>
      </c>
    </row>
    <row r="3" spans="1:31" ht="15" x14ac:dyDescent="0.25">
      <c r="D3" s="1"/>
      <c r="E3" s="1"/>
      <c r="L3" s="1" t="s">
        <v>1810</v>
      </c>
      <c r="M3" t="s">
        <v>1677</v>
      </c>
      <c r="N3" s="3">
        <v>0.3</v>
      </c>
      <c r="O3" s="1" t="s">
        <v>1810</v>
      </c>
      <c r="P3" t="s">
        <v>1677</v>
      </c>
      <c r="Q3" s="3">
        <v>0.3</v>
      </c>
      <c r="R3" s="1" t="s">
        <v>1810</v>
      </c>
      <c r="S3" t="s">
        <v>1677</v>
      </c>
      <c r="T3" s="3">
        <v>0.3</v>
      </c>
      <c r="U3" s="1" t="s">
        <v>1810</v>
      </c>
      <c r="V3" t="s">
        <v>1677</v>
      </c>
      <c r="W3" s="3">
        <v>0.3</v>
      </c>
      <c r="Y3" s="3"/>
      <c r="AA3" s="3"/>
      <c r="AC3" s="3"/>
      <c r="AD3" t="s">
        <v>88</v>
      </c>
      <c r="AE3" s="3">
        <v>0.2</v>
      </c>
    </row>
    <row r="4" spans="1:31" ht="15" x14ac:dyDescent="0.25">
      <c r="A4" s="6" t="e">
        <f t="shared" ref="A4:B35" si="0">IF($B$1="Solo",IF(L3="","",L3),IF($B$1="Duet",IF(O3="","",O3),IF($B$1="Mixed",IF(R3="","",R3),IF(U3="","",U3))))</f>
        <v>#N/A</v>
      </c>
      <c r="B4" s="3" t="e">
        <f t="shared" si="0"/>
        <v>#N/A</v>
      </c>
      <c r="C4" s="3" t="e">
        <f t="shared" ref="C4:C35" si="1">IF($B$1="Solo",IF(N3="","",N3),IF($B$1="Duet",IF(Q3="","",Q3),IF($B$1="Mixed",IF(T3="","",T3),IF(W3="","",W3))))</f>
        <v>#N/A</v>
      </c>
      <c r="D4" s="3" t="e">
        <f>IF($D$1="Team",IF(AD3="","",AD3),"")</f>
        <v>#N/A</v>
      </c>
      <c r="E4" s="3" t="e">
        <f>IF($D$1="Team",IF(AE3="","",AE3),"")</f>
        <v>#N/A</v>
      </c>
      <c r="F4" t="s">
        <v>1677</v>
      </c>
      <c r="G4">
        <v>0.3</v>
      </c>
      <c r="L4" s="1" t="s">
        <v>1810</v>
      </c>
      <c r="M4" t="s">
        <v>56</v>
      </c>
      <c r="N4" s="3">
        <v>0.45</v>
      </c>
      <c r="O4" s="1" t="s">
        <v>1810</v>
      </c>
      <c r="P4" t="s">
        <v>56</v>
      </c>
      <c r="Q4" s="3">
        <v>0.45</v>
      </c>
      <c r="R4" s="1" t="s">
        <v>1810</v>
      </c>
      <c r="S4" t="s">
        <v>56</v>
      </c>
      <c r="T4" s="3">
        <v>0.45</v>
      </c>
      <c r="U4" s="1" t="s">
        <v>1810</v>
      </c>
      <c r="V4" t="s">
        <v>56</v>
      </c>
      <c r="W4" s="3">
        <v>0.45</v>
      </c>
      <c r="Y4" s="3"/>
      <c r="AA4" s="3"/>
      <c r="AC4" s="3"/>
      <c r="AD4" t="s">
        <v>89</v>
      </c>
      <c r="AE4" s="3">
        <v>0.4</v>
      </c>
    </row>
    <row r="5" spans="1:31" ht="15" x14ac:dyDescent="0.25">
      <c r="A5" s="6" t="e">
        <f t="shared" si="0"/>
        <v>#N/A</v>
      </c>
      <c r="B5" s="3" t="e">
        <f t="shared" si="0"/>
        <v>#N/A</v>
      </c>
      <c r="C5" s="3" t="e">
        <f t="shared" si="1"/>
        <v>#N/A</v>
      </c>
      <c r="D5" s="3" t="e">
        <f t="shared" ref="D5:D68" si="2">IF($D$1="Team",IF(AD4="","",AD4),"")</f>
        <v>#N/A</v>
      </c>
      <c r="E5" s="3" t="e">
        <f t="shared" ref="E5:E68" si="3">IF($D$1="Team",IF(AE4="","",AE4),"")</f>
        <v>#N/A</v>
      </c>
      <c r="F5" t="s">
        <v>56</v>
      </c>
      <c r="G5">
        <v>0.45</v>
      </c>
      <c r="L5" s="1" t="s">
        <v>1810</v>
      </c>
      <c r="M5" t="s">
        <v>1823</v>
      </c>
      <c r="N5" s="3">
        <v>0.5</v>
      </c>
      <c r="O5" s="1" t="s">
        <v>1810</v>
      </c>
      <c r="P5" t="s">
        <v>1823</v>
      </c>
      <c r="Q5" s="3">
        <v>0.5</v>
      </c>
      <c r="R5" s="1" t="s">
        <v>1810</v>
      </c>
      <c r="S5" t="s">
        <v>1823</v>
      </c>
      <c r="T5" s="3">
        <v>0.5</v>
      </c>
      <c r="U5" s="1" t="s">
        <v>1810</v>
      </c>
      <c r="V5" t="s">
        <v>1823</v>
      </c>
      <c r="W5" s="3">
        <v>0.5</v>
      </c>
      <c r="Y5" s="3"/>
      <c r="AA5" s="3"/>
      <c r="AC5" s="3"/>
      <c r="AD5" t="s">
        <v>90</v>
      </c>
      <c r="AE5" s="3">
        <v>0.6</v>
      </c>
    </row>
    <row r="6" spans="1:31" ht="15" x14ac:dyDescent="0.25">
      <c r="A6" s="6" t="e">
        <f t="shared" si="0"/>
        <v>#N/A</v>
      </c>
      <c r="B6" s="3" t="e">
        <f t="shared" si="0"/>
        <v>#N/A</v>
      </c>
      <c r="C6" s="3" t="e">
        <f t="shared" si="1"/>
        <v>#N/A</v>
      </c>
      <c r="D6" s="3" t="e">
        <f t="shared" si="2"/>
        <v>#N/A</v>
      </c>
      <c r="E6" s="3" t="e">
        <f t="shared" si="3"/>
        <v>#N/A</v>
      </c>
      <c r="F6" t="s">
        <v>1823</v>
      </c>
      <c r="G6">
        <v>0.5</v>
      </c>
      <c r="L6" s="1" t="s">
        <v>1810</v>
      </c>
      <c r="M6" t="s">
        <v>1824</v>
      </c>
      <c r="N6" s="3">
        <v>0.5</v>
      </c>
      <c r="O6" s="1" t="s">
        <v>1810</v>
      </c>
      <c r="P6" t="s">
        <v>1824</v>
      </c>
      <c r="Q6" s="3">
        <v>0.5</v>
      </c>
      <c r="R6" s="1" t="s">
        <v>1810</v>
      </c>
      <c r="S6" t="s">
        <v>1824</v>
      </c>
      <c r="T6" s="3">
        <v>0.5</v>
      </c>
      <c r="U6" s="1" t="s">
        <v>1810</v>
      </c>
      <c r="V6" t="s">
        <v>1824</v>
      </c>
      <c r="W6" s="3">
        <v>0.5</v>
      </c>
      <c r="Y6" s="3"/>
      <c r="AA6" s="3"/>
      <c r="AC6" s="3"/>
      <c r="AD6" t="s">
        <v>91</v>
      </c>
      <c r="AE6" s="3">
        <v>0.8</v>
      </c>
    </row>
    <row r="7" spans="1:31" ht="15" x14ac:dyDescent="0.25">
      <c r="A7" s="6" t="e">
        <f t="shared" si="0"/>
        <v>#N/A</v>
      </c>
      <c r="B7" s="3" t="e">
        <f t="shared" si="0"/>
        <v>#N/A</v>
      </c>
      <c r="C7" s="3" t="e">
        <f t="shared" si="1"/>
        <v>#N/A</v>
      </c>
      <c r="D7" s="3" t="e">
        <f t="shared" si="2"/>
        <v>#N/A</v>
      </c>
      <c r="E7" s="3" t="e">
        <f t="shared" si="3"/>
        <v>#N/A</v>
      </c>
      <c r="F7" t="s">
        <v>1824</v>
      </c>
      <c r="G7">
        <v>0.5</v>
      </c>
      <c r="L7" s="1" t="s">
        <v>1810</v>
      </c>
      <c r="M7" t="s">
        <v>1825</v>
      </c>
      <c r="N7" s="3">
        <v>0.65</v>
      </c>
      <c r="O7" s="1" t="s">
        <v>1810</v>
      </c>
      <c r="P7" t="s">
        <v>1825</v>
      </c>
      <c r="Q7" s="3">
        <v>0.65</v>
      </c>
      <c r="R7" s="1" t="s">
        <v>1810</v>
      </c>
      <c r="S7" t="s">
        <v>1825</v>
      </c>
      <c r="T7" s="3">
        <v>0.65</v>
      </c>
      <c r="U7" s="1" t="s">
        <v>1810</v>
      </c>
      <c r="V7" t="s">
        <v>1825</v>
      </c>
      <c r="W7" s="3">
        <v>0.65</v>
      </c>
      <c r="Y7" s="3"/>
      <c r="AA7" s="3"/>
      <c r="AC7" s="3"/>
      <c r="AD7" t="s">
        <v>92</v>
      </c>
      <c r="AE7" s="3">
        <v>1</v>
      </c>
    </row>
    <row r="8" spans="1:31" ht="15" x14ac:dyDescent="0.25">
      <c r="A8" s="6" t="e">
        <f t="shared" si="0"/>
        <v>#N/A</v>
      </c>
      <c r="B8" s="3" t="e">
        <f t="shared" si="0"/>
        <v>#N/A</v>
      </c>
      <c r="C8" s="3" t="e">
        <f t="shared" si="1"/>
        <v>#N/A</v>
      </c>
      <c r="D8" s="3" t="e">
        <f t="shared" si="2"/>
        <v>#N/A</v>
      </c>
      <c r="E8" s="3" t="e">
        <f t="shared" si="3"/>
        <v>#N/A</v>
      </c>
      <c r="F8" t="s">
        <v>1825</v>
      </c>
      <c r="G8">
        <v>0.65</v>
      </c>
      <c r="L8" s="1" t="s">
        <v>1810</v>
      </c>
      <c r="M8" t="s">
        <v>1826</v>
      </c>
      <c r="N8" s="3">
        <v>0.65</v>
      </c>
      <c r="O8" s="1" t="s">
        <v>1810</v>
      </c>
      <c r="P8" t="s">
        <v>1826</v>
      </c>
      <c r="Q8" s="3">
        <v>0.65</v>
      </c>
      <c r="R8" s="1" t="s">
        <v>1810</v>
      </c>
      <c r="S8" t="s">
        <v>1826</v>
      </c>
      <c r="T8" s="3">
        <v>0.65</v>
      </c>
      <c r="U8" s="1" t="s">
        <v>1810</v>
      </c>
      <c r="V8" t="s">
        <v>1826</v>
      </c>
      <c r="W8" s="3">
        <v>0.65</v>
      </c>
      <c r="Y8" s="3"/>
      <c r="AA8" s="3"/>
      <c r="AC8" s="3"/>
      <c r="AD8" t="s">
        <v>93</v>
      </c>
      <c r="AE8" s="3">
        <v>1.2</v>
      </c>
    </row>
    <row r="9" spans="1:31" ht="15" x14ac:dyDescent="0.25">
      <c r="A9" s="6" t="e">
        <f t="shared" si="0"/>
        <v>#N/A</v>
      </c>
      <c r="B9" s="3" t="e">
        <f t="shared" si="0"/>
        <v>#N/A</v>
      </c>
      <c r="C9" s="3" t="e">
        <f t="shared" si="1"/>
        <v>#N/A</v>
      </c>
      <c r="D9" s="3" t="e">
        <f t="shared" si="2"/>
        <v>#N/A</v>
      </c>
      <c r="E9" s="3" t="e">
        <f t="shared" si="3"/>
        <v>#N/A</v>
      </c>
      <c r="F9" t="s">
        <v>1826</v>
      </c>
      <c r="G9">
        <v>0.65</v>
      </c>
      <c r="L9" s="1" t="s">
        <v>1810</v>
      </c>
      <c r="M9" t="s">
        <v>1827</v>
      </c>
      <c r="N9" s="3">
        <v>0.65</v>
      </c>
      <c r="O9" s="1" t="s">
        <v>1810</v>
      </c>
      <c r="P9" t="s">
        <v>1827</v>
      </c>
      <c r="Q9" s="3">
        <v>0.65</v>
      </c>
      <c r="R9" s="1" t="s">
        <v>1810</v>
      </c>
      <c r="S9" t="s">
        <v>1827</v>
      </c>
      <c r="T9" s="3">
        <v>0.65</v>
      </c>
      <c r="U9" s="1" t="s">
        <v>1810</v>
      </c>
      <c r="V9" t="s">
        <v>1827</v>
      </c>
      <c r="W9" s="3">
        <v>0.65</v>
      </c>
      <c r="Y9" s="3"/>
      <c r="AA9" s="3"/>
      <c r="AC9" s="3"/>
      <c r="AD9" t="s">
        <v>2076</v>
      </c>
      <c r="AE9" s="3">
        <v>1.4</v>
      </c>
    </row>
    <row r="10" spans="1:31" ht="15" x14ac:dyDescent="0.25">
      <c r="A10" s="6" t="e">
        <f t="shared" si="0"/>
        <v>#N/A</v>
      </c>
      <c r="B10" s="3" t="e">
        <f t="shared" si="0"/>
        <v>#N/A</v>
      </c>
      <c r="C10" s="3" t="e">
        <f t="shared" si="1"/>
        <v>#N/A</v>
      </c>
      <c r="D10" s="3" t="e">
        <f t="shared" si="2"/>
        <v>#N/A</v>
      </c>
      <c r="E10" s="3" t="e">
        <f t="shared" si="3"/>
        <v>#N/A</v>
      </c>
      <c r="F10" t="s">
        <v>1827</v>
      </c>
      <c r="G10">
        <v>0.65</v>
      </c>
      <c r="L10" s="1" t="s">
        <v>1810</v>
      </c>
      <c r="M10" t="s">
        <v>1828</v>
      </c>
      <c r="N10" s="3">
        <v>0.65</v>
      </c>
      <c r="O10" s="1" t="s">
        <v>1810</v>
      </c>
      <c r="P10" t="s">
        <v>1828</v>
      </c>
      <c r="Q10" s="3">
        <v>0.65</v>
      </c>
      <c r="R10" s="1" t="s">
        <v>1810</v>
      </c>
      <c r="S10" t="s">
        <v>1828</v>
      </c>
      <c r="T10" s="3">
        <v>0.65</v>
      </c>
      <c r="U10" s="1" t="s">
        <v>1810</v>
      </c>
      <c r="V10" t="s">
        <v>1828</v>
      </c>
      <c r="W10" s="3">
        <v>0.65</v>
      </c>
      <c r="Y10" s="3"/>
      <c r="AA10" s="3"/>
      <c r="AC10" s="3"/>
      <c r="AD10" t="s">
        <v>2077</v>
      </c>
      <c r="AE10" s="3">
        <v>1.6</v>
      </c>
    </row>
    <row r="11" spans="1:31" ht="15" x14ac:dyDescent="0.25">
      <c r="A11" s="6" t="e">
        <f t="shared" si="0"/>
        <v>#N/A</v>
      </c>
      <c r="B11" s="3" t="e">
        <f t="shared" si="0"/>
        <v>#N/A</v>
      </c>
      <c r="C11" s="3" t="e">
        <f t="shared" si="1"/>
        <v>#N/A</v>
      </c>
      <c r="D11" s="3" t="e">
        <f t="shared" si="2"/>
        <v>#N/A</v>
      </c>
      <c r="E11" s="3" t="e">
        <f t="shared" si="3"/>
        <v>#N/A</v>
      </c>
      <c r="F11" t="s">
        <v>1828</v>
      </c>
      <c r="G11">
        <v>0.65</v>
      </c>
      <c r="L11" s="1" t="s">
        <v>1810</v>
      </c>
      <c r="M11" t="s">
        <v>1829</v>
      </c>
      <c r="N11" s="3">
        <v>0.8</v>
      </c>
      <c r="O11" s="1" t="s">
        <v>1810</v>
      </c>
      <c r="P11" t="s">
        <v>1829</v>
      </c>
      <c r="Q11" s="3">
        <v>0.8</v>
      </c>
      <c r="R11" s="1" t="s">
        <v>1810</v>
      </c>
      <c r="S11" t="s">
        <v>1829</v>
      </c>
      <c r="T11" s="3">
        <v>0.8</v>
      </c>
      <c r="U11" s="1" t="s">
        <v>1810</v>
      </c>
      <c r="V11" t="s">
        <v>1829</v>
      </c>
      <c r="W11" s="3">
        <v>0.8</v>
      </c>
      <c r="Y11" s="3"/>
      <c r="AA11" s="3"/>
      <c r="AC11" s="3"/>
      <c r="AD11" t="s">
        <v>2078</v>
      </c>
      <c r="AE11" s="3">
        <v>1.8</v>
      </c>
    </row>
    <row r="12" spans="1:31" ht="15" x14ac:dyDescent="0.25">
      <c r="A12" s="6" t="e">
        <f t="shared" si="0"/>
        <v>#N/A</v>
      </c>
      <c r="B12" s="3" t="e">
        <f t="shared" si="0"/>
        <v>#N/A</v>
      </c>
      <c r="C12" s="3" t="e">
        <f t="shared" si="1"/>
        <v>#N/A</v>
      </c>
      <c r="D12" s="3" t="e">
        <f t="shared" si="2"/>
        <v>#N/A</v>
      </c>
      <c r="E12" s="3" t="e">
        <f t="shared" si="3"/>
        <v>#N/A</v>
      </c>
      <c r="F12" t="s">
        <v>1829</v>
      </c>
      <c r="G12">
        <v>0.8</v>
      </c>
      <c r="L12" s="1" t="s">
        <v>1810</v>
      </c>
      <c r="M12" t="s">
        <v>1830</v>
      </c>
      <c r="N12" s="3">
        <v>0.8</v>
      </c>
      <c r="O12" s="1" t="s">
        <v>1810</v>
      </c>
      <c r="P12" t="s">
        <v>1830</v>
      </c>
      <c r="Q12" s="3">
        <v>0.8</v>
      </c>
      <c r="R12" s="1" t="s">
        <v>1810</v>
      </c>
      <c r="S12" t="s">
        <v>1830</v>
      </c>
      <c r="T12" s="3">
        <v>0.8</v>
      </c>
      <c r="U12" s="1" t="s">
        <v>1810</v>
      </c>
      <c r="V12" t="s">
        <v>1830</v>
      </c>
      <c r="W12" s="3">
        <v>0.8</v>
      </c>
      <c r="Y12" s="3"/>
      <c r="AA12" s="3"/>
      <c r="AC12" s="3"/>
      <c r="AD12" t="s">
        <v>2079</v>
      </c>
      <c r="AE12" s="3">
        <v>2</v>
      </c>
    </row>
    <row r="13" spans="1:31" ht="15" x14ac:dyDescent="0.25">
      <c r="A13" s="6" t="e">
        <f t="shared" si="0"/>
        <v>#N/A</v>
      </c>
      <c r="B13" s="3" t="e">
        <f t="shared" si="0"/>
        <v>#N/A</v>
      </c>
      <c r="C13" s="3" t="e">
        <f t="shared" si="1"/>
        <v>#N/A</v>
      </c>
      <c r="D13" s="3" t="e">
        <f t="shared" si="2"/>
        <v>#N/A</v>
      </c>
      <c r="E13" s="3" t="e">
        <f t="shared" si="3"/>
        <v>#N/A</v>
      </c>
      <c r="F13" t="s">
        <v>1830</v>
      </c>
      <c r="G13">
        <v>0.8</v>
      </c>
      <c r="L13" s="1" t="s">
        <v>1810</v>
      </c>
      <c r="M13" t="s">
        <v>1831</v>
      </c>
      <c r="N13" s="3">
        <v>0.8</v>
      </c>
      <c r="O13" s="1" t="s">
        <v>1810</v>
      </c>
      <c r="P13" t="s">
        <v>1831</v>
      </c>
      <c r="Q13" s="3">
        <v>0.8</v>
      </c>
      <c r="R13" s="1" t="s">
        <v>1810</v>
      </c>
      <c r="S13" t="s">
        <v>1831</v>
      </c>
      <c r="T13" s="3">
        <v>0.8</v>
      </c>
      <c r="U13" s="1" t="s">
        <v>1810</v>
      </c>
      <c r="V13" t="s">
        <v>1831</v>
      </c>
      <c r="W13" s="3">
        <v>0.8</v>
      </c>
      <c r="Y13" s="3"/>
      <c r="AA13" s="3"/>
      <c r="AC13" s="3"/>
      <c r="AD13" t="s">
        <v>2080</v>
      </c>
      <c r="AE13" s="3">
        <v>2.2000000000000002</v>
      </c>
    </row>
    <row r="14" spans="1:31" ht="15" x14ac:dyDescent="0.25">
      <c r="A14" s="6" t="e">
        <f t="shared" si="0"/>
        <v>#N/A</v>
      </c>
      <c r="B14" s="3" t="e">
        <f t="shared" si="0"/>
        <v>#N/A</v>
      </c>
      <c r="C14" s="3" t="e">
        <f t="shared" si="1"/>
        <v>#N/A</v>
      </c>
      <c r="D14" s="3" t="e">
        <f t="shared" si="2"/>
        <v>#N/A</v>
      </c>
      <c r="E14" s="3" t="e">
        <f t="shared" si="3"/>
        <v>#N/A</v>
      </c>
      <c r="F14" t="s">
        <v>1831</v>
      </c>
      <c r="G14">
        <v>0.8</v>
      </c>
      <c r="L14" s="1" t="s">
        <v>1810</v>
      </c>
      <c r="M14" t="s">
        <v>1832</v>
      </c>
      <c r="N14" s="3">
        <v>0.8</v>
      </c>
      <c r="O14" s="1" t="s">
        <v>1810</v>
      </c>
      <c r="P14" t="s">
        <v>1832</v>
      </c>
      <c r="Q14" s="3">
        <v>0.8</v>
      </c>
      <c r="R14" s="1" t="s">
        <v>1810</v>
      </c>
      <c r="S14" t="s">
        <v>1832</v>
      </c>
      <c r="T14" s="3">
        <v>0.8</v>
      </c>
      <c r="U14" s="1" t="s">
        <v>1810</v>
      </c>
      <c r="V14" t="s">
        <v>1832</v>
      </c>
      <c r="W14" s="3">
        <v>0.8</v>
      </c>
      <c r="Y14" s="3"/>
      <c r="AA14" s="3"/>
      <c r="AC14" s="3"/>
      <c r="AD14" t="s">
        <v>2081</v>
      </c>
      <c r="AE14" s="3">
        <v>2.4</v>
      </c>
    </row>
    <row r="15" spans="1:31" ht="15" x14ac:dyDescent="0.25">
      <c r="A15" s="6" t="e">
        <f t="shared" si="0"/>
        <v>#N/A</v>
      </c>
      <c r="B15" s="3" t="e">
        <f t="shared" si="0"/>
        <v>#N/A</v>
      </c>
      <c r="C15" s="3" t="e">
        <f t="shared" si="1"/>
        <v>#N/A</v>
      </c>
      <c r="D15" s="3" t="e">
        <f t="shared" si="2"/>
        <v>#N/A</v>
      </c>
      <c r="E15" s="3" t="e">
        <f t="shared" si="3"/>
        <v>#N/A</v>
      </c>
      <c r="F15" t="s">
        <v>1832</v>
      </c>
      <c r="G15">
        <v>0.8</v>
      </c>
      <c r="L15" s="1" t="s">
        <v>1810</v>
      </c>
      <c r="M15" t="s">
        <v>1898</v>
      </c>
      <c r="N15" s="3">
        <v>0.8</v>
      </c>
      <c r="O15" s="1" t="s">
        <v>1810</v>
      </c>
      <c r="P15" t="s">
        <v>1898</v>
      </c>
      <c r="Q15" s="3">
        <v>0.8</v>
      </c>
      <c r="R15" s="1" t="s">
        <v>1810</v>
      </c>
      <c r="S15" t="s">
        <v>1898</v>
      </c>
      <c r="T15" s="3">
        <v>0.8</v>
      </c>
      <c r="U15" s="1" t="s">
        <v>1810</v>
      </c>
      <c r="V15" t="s">
        <v>1898</v>
      </c>
      <c r="W15" s="3">
        <v>0.8</v>
      </c>
      <c r="Y15" s="3"/>
      <c r="AA15" s="3"/>
      <c r="AC15" s="3"/>
      <c r="AD15" t="s">
        <v>2082</v>
      </c>
      <c r="AE15" s="3">
        <v>2.6</v>
      </c>
    </row>
    <row r="16" spans="1:31" ht="15" x14ac:dyDescent="0.25">
      <c r="A16" s="6" t="e">
        <f t="shared" si="0"/>
        <v>#N/A</v>
      </c>
      <c r="B16" s="3" t="e">
        <f t="shared" si="0"/>
        <v>#N/A</v>
      </c>
      <c r="C16" s="3" t="e">
        <f t="shared" si="1"/>
        <v>#N/A</v>
      </c>
      <c r="D16" s="3" t="e">
        <f t="shared" si="2"/>
        <v>#N/A</v>
      </c>
      <c r="E16" s="3" t="e">
        <f t="shared" si="3"/>
        <v>#N/A</v>
      </c>
      <c r="F16" t="s">
        <v>1898</v>
      </c>
      <c r="G16">
        <v>0.8</v>
      </c>
      <c r="L16" s="1" t="s">
        <v>1810</v>
      </c>
      <c r="M16" t="s">
        <v>1833</v>
      </c>
      <c r="N16" s="3">
        <v>0.9</v>
      </c>
      <c r="O16" s="1" t="s">
        <v>1810</v>
      </c>
      <c r="P16" t="s">
        <v>1833</v>
      </c>
      <c r="Q16" s="3">
        <v>0.9</v>
      </c>
      <c r="R16" s="1" t="s">
        <v>1810</v>
      </c>
      <c r="S16" t="s">
        <v>1833</v>
      </c>
      <c r="T16" s="3">
        <v>0.9</v>
      </c>
      <c r="U16" s="1" t="s">
        <v>1810</v>
      </c>
      <c r="V16" t="s">
        <v>1833</v>
      </c>
      <c r="W16" s="3">
        <v>0.9</v>
      </c>
      <c r="Y16" s="3"/>
      <c r="AA16" s="3"/>
      <c r="AC16" s="3"/>
      <c r="AD16" t="s">
        <v>2083</v>
      </c>
      <c r="AE16" s="3">
        <v>2.8</v>
      </c>
    </row>
    <row r="17" spans="1:31" x14ac:dyDescent="0.3">
      <c r="A17" s="6" t="e">
        <f t="shared" si="0"/>
        <v>#N/A</v>
      </c>
      <c r="B17" s="3" t="e">
        <f t="shared" si="0"/>
        <v>#N/A</v>
      </c>
      <c r="C17" s="3" t="e">
        <f t="shared" si="1"/>
        <v>#N/A</v>
      </c>
      <c r="D17" s="3" t="e">
        <f t="shared" si="2"/>
        <v>#N/A</v>
      </c>
      <c r="E17" s="3" t="e">
        <f t="shared" si="3"/>
        <v>#N/A</v>
      </c>
      <c r="F17" t="s">
        <v>1833</v>
      </c>
      <c r="G17">
        <v>0.9</v>
      </c>
      <c r="L17" s="1" t="s">
        <v>1810</v>
      </c>
      <c r="M17" t="s">
        <v>1834</v>
      </c>
      <c r="N17" s="3">
        <v>0.9</v>
      </c>
      <c r="O17" s="1" t="s">
        <v>1810</v>
      </c>
      <c r="P17" t="s">
        <v>1834</v>
      </c>
      <c r="Q17" s="3">
        <v>0.9</v>
      </c>
      <c r="R17" s="1" t="s">
        <v>1810</v>
      </c>
      <c r="S17" t="s">
        <v>1834</v>
      </c>
      <c r="T17" s="3">
        <v>0.9</v>
      </c>
      <c r="U17" s="1" t="s">
        <v>1810</v>
      </c>
      <c r="V17" t="s">
        <v>1834</v>
      </c>
      <c r="W17" s="3">
        <v>0.9</v>
      </c>
      <c r="Y17" s="3"/>
      <c r="AA17" s="3"/>
      <c r="AC17" s="3"/>
      <c r="AD17" t="s">
        <v>2084</v>
      </c>
      <c r="AE17" s="3">
        <v>3</v>
      </c>
    </row>
    <row r="18" spans="1:31" x14ac:dyDescent="0.3">
      <c r="A18" s="6" t="e">
        <f t="shared" si="0"/>
        <v>#N/A</v>
      </c>
      <c r="B18" s="3" t="e">
        <f t="shared" si="0"/>
        <v>#N/A</v>
      </c>
      <c r="C18" s="3" t="e">
        <f t="shared" si="1"/>
        <v>#N/A</v>
      </c>
      <c r="D18" s="3" t="e">
        <f t="shared" si="2"/>
        <v>#N/A</v>
      </c>
      <c r="E18" s="3" t="e">
        <f t="shared" si="3"/>
        <v>#N/A</v>
      </c>
      <c r="F18" t="s">
        <v>1834</v>
      </c>
      <c r="G18">
        <v>0.9</v>
      </c>
      <c r="L18" s="1" t="s">
        <v>1810</v>
      </c>
      <c r="M18" t="s">
        <v>1835</v>
      </c>
      <c r="N18" s="3">
        <v>0.9</v>
      </c>
      <c r="O18" s="1" t="s">
        <v>1810</v>
      </c>
      <c r="P18" t="s">
        <v>1835</v>
      </c>
      <c r="Q18" s="3">
        <v>0.9</v>
      </c>
      <c r="R18" s="1" t="s">
        <v>1810</v>
      </c>
      <c r="S18" t="s">
        <v>1835</v>
      </c>
      <c r="T18" s="3">
        <v>0.9</v>
      </c>
      <c r="U18" s="1" t="s">
        <v>1810</v>
      </c>
      <c r="V18" t="s">
        <v>1835</v>
      </c>
      <c r="W18" s="3">
        <v>0.9</v>
      </c>
      <c r="Y18" s="3"/>
      <c r="AA18" s="3"/>
      <c r="AC18" s="3"/>
      <c r="AE18" s="3"/>
    </row>
    <row r="19" spans="1:31" x14ac:dyDescent="0.3">
      <c r="A19" s="6" t="e">
        <f t="shared" si="0"/>
        <v>#N/A</v>
      </c>
      <c r="B19" s="3" t="e">
        <f t="shared" si="0"/>
        <v>#N/A</v>
      </c>
      <c r="C19" s="3" t="e">
        <f t="shared" si="1"/>
        <v>#N/A</v>
      </c>
      <c r="D19" s="3" t="e">
        <f t="shared" si="2"/>
        <v>#N/A</v>
      </c>
      <c r="E19" s="3" t="e">
        <f t="shared" si="3"/>
        <v>#N/A</v>
      </c>
      <c r="F19" t="s">
        <v>1835</v>
      </c>
      <c r="G19">
        <v>0.9</v>
      </c>
      <c r="L19" s="1" t="s">
        <v>1810</v>
      </c>
      <c r="M19" t="s">
        <v>1836</v>
      </c>
      <c r="N19" s="3">
        <v>0.9</v>
      </c>
      <c r="O19" s="1" t="s">
        <v>1810</v>
      </c>
      <c r="P19" t="s">
        <v>1836</v>
      </c>
      <c r="Q19" s="3">
        <v>0.9</v>
      </c>
      <c r="R19" s="1" t="s">
        <v>1810</v>
      </c>
      <c r="S19" t="s">
        <v>1836</v>
      </c>
      <c r="T19" s="3">
        <v>0.9</v>
      </c>
      <c r="U19" s="1" t="s">
        <v>1810</v>
      </c>
      <c r="V19" t="s">
        <v>1836</v>
      </c>
      <c r="W19" s="3">
        <v>0.9</v>
      </c>
      <c r="Y19" s="3"/>
      <c r="AA19" s="3"/>
      <c r="AC19" s="3"/>
      <c r="AE19" s="3"/>
    </row>
    <row r="20" spans="1:31" x14ac:dyDescent="0.3">
      <c r="A20" s="6" t="e">
        <f t="shared" si="0"/>
        <v>#N/A</v>
      </c>
      <c r="B20" s="3" t="e">
        <f t="shared" si="0"/>
        <v>#N/A</v>
      </c>
      <c r="C20" s="3" t="e">
        <f t="shared" si="1"/>
        <v>#N/A</v>
      </c>
      <c r="D20" s="3" t="e">
        <f t="shared" si="2"/>
        <v>#N/A</v>
      </c>
      <c r="E20" s="3" t="e">
        <f t="shared" si="3"/>
        <v>#N/A</v>
      </c>
      <c r="F20" t="s">
        <v>1836</v>
      </c>
      <c r="G20">
        <v>0.9</v>
      </c>
      <c r="L20" s="1" t="s">
        <v>1810</v>
      </c>
      <c r="M20" t="s">
        <v>1837</v>
      </c>
      <c r="N20" s="3">
        <v>0.9</v>
      </c>
      <c r="O20" s="1" t="s">
        <v>1810</v>
      </c>
      <c r="P20" t="s">
        <v>1837</v>
      </c>
      <c r="Q20" s="3">
        <v>0.9</v>
      </c>
      <c r="R20" s="1" t="s">
        <v>1810</v>
      </c>
      <c r="S20" t="s">
        <v>1837</v>
      </c>
      <c r="T20" s="3">
        <v>0.9</v>
      </c>
      <c r="U20" s="1" t="s">
        <v>1810</v>
      </c>
      <c r="V20" t="s">
        <v>1837</v>
      </c>
      <c r="W20" s="3">
        <v>0.9</v>
      </c>
      <c r="Y20" s="3"/>
      <c r="AA20" s="3"/>
      <c r="AC20" s="3"/>
      <c r="AE20" s="3"/>
    </row>
    <row r="21" spans="1:31" x14ac:dyDescent="0.3">
      <c r="A21" s="6" t="e">
        <f t="shared" si="0"/>
        <v>#N/A</v>
      </c>
      <c r="B21" s="3" t="e">
        <f t="shared" si="0"/>
        <v>#N/A</v>
      </c>
      <c r="C21" s="3" t="e">
        <f t="shared" si="1"/>
        <v>#N/A</v>
      </c>
      <c r="D21" s="3" t="e">
        <f t="shared" si="2"/>
        <v>#N/A</v>
      </c>
      <c r="E21" s="3" t="e">
        <f t="shared" si="3"/>
        <v>#N/A</v>
      </c>
      <c r="F21" t="s">
        <v>1837</v>
      </c>
      <c r="G21">
        <v>0.9</v>
      </c>
      <c r="L21" s="1" t="s">
        <v>1810</v>
      </c>
      <c r="M21" t="s">
        <v>1838</v>
      </c>
      <c r="N21" s="3">
        <v>1.1000000000000001</v>
      </c>
      <c r="O21" s="1" t="s">
        <v>1810</v>
      </c>
      <c r="P21" t="s">
        <v>1838</v>
      </c>
      <c r="Q21" s="3">
        <v>1.1000000000000001</v>
      </c>
      <c r="R21" s="1" t="s">
        <v>1810</v>
      </c>
      <c r="S21" t="s">
        <v>1838</v>
      </c>
      <c r="T21" s="3">
        <v>1.1000000000000001</v>
      </c>
      <c r="U21" s="1" t="s">
        <v>1810</v>
      </c>
      <c r="V21" t="s">
        <v>1838</v>
      </c>
      <c r="W21" s="3">
        <v>1.1000000000000001</v>
      </c>
      <c r="Y21" s="3"/>
      <c r="AA21" s="3"/>
      <c r="AC21" s="3"/>
      <c r="AE21" s="3"/>
    </row>
    <row r="22" spans="1:31" x14ac:dyDescent="0.3">
      <c r="A22" s="6" t="e">
        <f t="shared" si="0"/>
        <v>#N/A</v>
      </c>
      <c r="B22" s="3" t="e">
        <f t="shared" si="0"/>
        <v>#N/A</v>
      </c>
      <c r="C22" s="3" t="e">
        <f t="shared" si="1"/>
        <v>#N/A</v>
      </c>
      <c r="D22" s="3" t="e">
        <f t="shared" si="2"/>
        <v>#N/A</v>
      </c>
      <c r="E22" s="3" t="e">
        <f t="shared" si="3"/>
        <v>#N/A</v>
      </c>
      <c r="F22" t="s">
        <v>1838</v>
      </c>
      <c r="G22">
        <v>1.1000000000000001</v>
      </c>
      <c r="L22" s="1" t="s">
        <v>1810</v>
      </c>
      <c r="M22" t="s">
        <v>1839</v>
      </c>
      <c r="N22" s="3">
        <v>1.1000000000000001</v>
      </c>
      <c r="O22" s="1" t="s">
        <v>1810</v>
      </c>
      <c r="P22" t="s">
        <v>1839</v>
      </c>
      <c r="Q22" s="3">
        <v>1.1000000000000001</v>
      </c>
      <c r="R22" s="1" t="s">
        <v>1810</v>
      </c>
      <c r="S22" t="s">
        <v>1839</v>
      </c>
      <c r="T22" s="3">
        <v>1.1000000000000001</v>
      </c>
      <c r="U22" s="1" t="s">
        <v>1810</v>
      </c>
      <c r="V22" t="s">
        <v>1839</v>
      </c>
      <c r="W22" s="3">
        <v>1.1000000000000001</v>
      </c>
      <c r="Y22" s="3"/>
      <c r="AA22" s="3"/>
      <c r="AC22" s="3"/>
      <c r="AE22" s="3"/>
    </row>
    <row r="23" spans="1:31" x14ac:dyDescent="0.3">
      <c r="A23" s="6" t="e">
        <f t="shared" si="0"/>
        <v>#N/A</v>
      </c>
      <c r="B23" s="3" t="e">
        <f t="shared" si="0"/>
        <v>#N/A</v>
      </c>
      <c r="C23" s="3" t="e">
        <f t="shared" si="1"/>
        <v>#N/A</v>
      </c>
      <c r="D23" s="3" t="e">
        <f t="shared" si="2"/>
        <v>#N/A</v>
      </c>
      <c r="E23" s="3" t="e">
        <f t="shared" si="3"/>
        <v>#N/A</v>
      </c>
      <c r="F23" t="s">
        <v>1839</v>
      </c>
      <c r="G23">
        <v>1.1000000000000001</v>
      </c>
      <c r="L23" s="1" t="s">
        <v>1810</v>
      </c>
      <c r="M23" t="s">
        <v>1840</v>
      </c>
      <c r="N23" s="3">
        <v>1.1000000000000001</v>
      </c>
      <c r="O23" s="1" t="s">
        <v>1810</v>
      </c>
      <c r="P23" t="s">
        <v>1840</v>
      </c>
      <c r="Q23" s="3">
        <v>1.1000000000000001</v>
      </c>
      <c r="R23" s="1" t="s">
        <v>1810</v>
      </c>
      <c r="S23" t="s">
        <v>1840</v>
      </c>
      <c r="T23" s="3">
        <v>1.1000000000000001</v>
      </c>
      <c r="U23" s="1" t="s">
        <v>1810</v>
      </c>
      <c r="V23" t="s">
        <v>1840</v>
      </c>
      <c r="W23" s="3">
        <v>1.1000000000000001</v>
      </c>
      <c r="Y23" s="3"/>
      <c r="AA23" s="3"/>
      <c r="AC23" s="3"/>
      <c r="AE23" s="3"/>
    </row>
    <row r="24" spans="1:31" x14ac:dyDescent="0.3">
      <c r="A24" s="6" t="e">
        <f t="shared" si="0"/>
        <v>#N/A</v>
      </c>
      <c r="B24" s="3" t="e">
        <f t="shared" si="0"/>
        <v>#N/A</v>
      </c>
      <c r="C24" s="3" t="e">
        <f t="shared" si="1"/>
        <v>#N/A</v>
      </c>
      <c r="D24" s="3" t="e">
        <f t="shared" si="2"/>
        <v>#N/A</v>
      </c>
      <c r="E24" s="3" t="e">
        <f t="shared" si="3"/>
        <v>#N/A</v>
      </c>
      <c r="F24" t="s">
        <v>1840</v>
      </c>
      <c r="G24">
        <v>1.1000000000000001</v>
      </c>
      <c r="L24" s="1" t="s">
        <v>1810</v>
      </c>
      <c r="M24" t="s">
        <v>58</v>
      </c>
      <c r="N24" s="3">
        <v>1.5</v>
      </c>
      <c r="O24" s="1" t="s">
        <v>1810</v>
      </c>
      <c r="P24" t="s">
        <v>58</v>
      </c>
      <c r="Q24" s="3">
        <v>1.5</v>
      </c>
      <c r="R24" s="1" t="s">
        <v>1810</v>
      </c>
      <c r="S24" t="s">
        <v>58</v>
      </c>
      <c r="T24" s="3">
        <v>1.5</v>
      </c>
      <c r="U24" s="1" t="s">
        <v>1810</v>
      </c>
      <c r="V24" t="s">
        <v>58</v>
      </c>
      <c r="W24" s="3">
        <v>1.5</v>
      </c>
      <c r="Y24" s="3"/>
      <c r="AA24" s="3"/>
      <c r="AC24" s="3"/>
      <c r="AE24" s="3"/>
    </row>
    <row r="25" spans="1:31" x14ac:dyDescent="0.3">
      <c r="A25" s="6" t="e">
        <f t="shared" si="0"/>
        <v>#N/A</v>
      </c>
      <c r="B25" s="3" t="e">
        <f t="shared" si="0"/>
        <v>#N/A</v>
      </c>
      <c r="C25" s="3" t="e">
        <f t="shared" si="1"/>
        <v>#N/A</v>
      </c>
      <c r="D25" s="3" t="e">
        <f t="shared" si="2"/>
        <v>#N/A</v>
      </c>
      <c r="E25" s="3" t="e">
        <f t="shared" si="3"/>
        <v>#N/A</v>
      </c>
      <c r="F25" t="s">
        <v>58</v>
      </c>
      <c r="G25">
        <v>1.5</v>
      </c>
      <c r="L25" s="1" t="s">
        <v>1810</v>
      </c>
      <c r="M25" t="s">
        <v>59</v>
      </c>
      <c r="N25" s="3">
        <v>1.7</v>
      </c>
      <c r="O25" s="1" t="s">
        <v>1810</v>
      </c>
      <c r="P25" t="s">
        <v>59</v>
      </c>
      <c r="Q25" s="3">
        <v>1.7</v>
      </c>
      <c r="R25" s="1" t="s">
        <v>1810</v>
      </c>
      <c r="S25" t="s">
        <v>59</v>
      </c>
      <c r="T25" s="3">
        <v>1.7</v>
      </c>
      <c r="U25" s="1" t="s">
        <v>1810</v>
      </c>
      <c r="V25" t="s">
        <v>59</v>
      </c>
      <c r="W25" s="3">
        <v>1.7</v>
      </c>
      <c r="Y25" s="3"/>
      <c r="AA25" s="3"/>
      <c r="AC25" s="3"/>
      <c r="AE25" s="3"/>
    </row>
    <row r="26" spans="1:31" x14ac:dyDescent="0.3">
      <c r="A26" s="6" t="e">
        <f t="shared" si="0"/>
        <v>#N/A</v>
      </c>
      <c r="B26" s="3" t="e">
        <f t="shared" si="0"/>
        <v>#N/A</v>
      </c>
      <c r="C26" s="3" t="e">
        <f t="shared" si="1"/>
        <v>#N/A</v>
      </c>
      <c r="D26" s="3" t="e">
        <f t="shared" si="2"/>
        <v>#N/A</v>
      </c>
      <c r="E26" s="3" t="e">
        <f t="shared" si="3"/>
        <v>#N/A</v>
      </c>
      <c r="F26" t="s">
        <v>59</v>
      </c>
      <c r="G26">
        <v>1.7</v>
      </c>
      <c r="L26" s="1" t="s">
        <v>1810</v>
      </c>
      <c r="M26" t="s">
        <v>1841</v>
      </c>
      <c r="N26" s="3">
        <v>2</v>
      </c>
      <c r="O26" s="1" t="s">
        <v>1810</v>
      </c>
      <c r="P26" t="s">
        <v>1841</v>
      </c>
      <c r="Q26" s="3">
        <v>2</v>
      </c>
      <c r="R26" s="1" t="s">
        <v>1810</v>
      </c>
      <c r="S26" t="s">
        <v>1841</v>
      </c>
      <c r="T26" s="3">
        <v>2</v>
      </c>
      <c r="U26" s="1" t="s">
        <v>1810</v>
      </c>
      <c r="V26" t="s">
        <v>1841</v>
      </c>
      <c r="W26" s="3">
        <v>2</v>
      </c>
      <c r="Y26" s="3"/>
      <c r="AA26" s="3"/>
      <c r="AC26" s="3"/>
      <c r="AE26" s="3"/>
    </row>
    <row r="27" spans="1:31" x14ac:dyDescent="0.3">
      <c r="A27" s="6" t="e">
        <f t="shared" si="0"/>
        <v>#N/A</v>
      </c>
      <c r="B27" s="3" t="e">
        <f t="shared" si="0"/>
        <v>#N/A</v>
      </c>
      <c r="C27" s="3" t="e">
        <f t="shared" si="1"/>
        <v>#N/A</v>
      </c>
      <c r="D27" s="3" t="e">
        <f t="shared" si="2"/>
        <v>#N/A</v>
      </c>
      <c r="E27" s="3" t="e">
        <f t="shared" si="3"/>
        <v>#N/A</v>
      </c>
      <c r="F27" t="s">
        <v>1841</v>
      </c>
      <c r="G27">
        <v>2</v>
      </c>
      <c r="L27" s="1" t="s">
        <v>1810</v>
      </c>
      <c r="M27" t="s">
        <v>1842</v>
      </c>
      <c r="N27" s="3">
        <v>2</v>
      </c>
      <c r="O27" s="1" t="s">
        <v>1810</v>
      </c>
      <c r="P27" t="s">
        <v>1842</v>
      </c>
      <c r="Q27" s="3">
        <v>2</v>
      </c>
      <c r="R27" s="1" t="s">
        <v>1810</v>
      </c>
      <c r="S27" t="s">
        <v>1842</v>
      </c>
      <c r="T27" s="3">
        <v>2</v>
      </c>
      <c r="U27" s="1" t="s">
        <v>1810</v>
      </c>
      <c r="V27" t="s">
        <v>1842</v>
      </c>
      <c r="W27" s="3">
        <v>2</v>
      </c>
      <c r="Y27" s="3"/>
      <c r="AA27" s="3"/>
      <c r="AC27" s="3"/>
      <c r="AE27" s="3"/>
    </row>
    <row r="28" spans="1:31" x14ac:dyDescent="0.3">
      <c r="A28" s="6" t="e">
        <f t="shared" si="0"/>
        <v>#N/A</v>
      </c>
      <c r="B28" s="3" t="e">
        <f t="shared" si="0"/>
        <v>#N/A</v>
      </c>
      <c r="C28" s="3" t="e">
        <f t="shared" si="1"/>
        <v>#N/A</v>
      </c>
      <c r="D28" s="3" t="e">
        <f t="shared" si="2"/>
        <v>#N/A</v>
      </c>
      <c r="E28" s="3" t="e">
        <f t="shared" si="3"/>
        <v>#N/A</v>
      </c>
      <c r="F28" t="s">
        <v>1842</v>
      </c>
      <c r="G28">
        <v>2</v>
      </c>
      <c r="L28" s="1" t="s">
        <v>1811</v>
      </c>
      <c r="M28" t="s">
        <v>1678</v>
      </c>
      <c r="N28" s="3">
        <v>0.15</v>
      </c>
      <c r="O28" s="1" t="s">
        <v>1811</v>
      </c>
      <c r="P28" t="s">
        <v>1678</v>
      </c>
      <c r="Q28" s="3">
        <v>0.15</v>
      </c>
      <c r="R28" s="1" t="s">
        <v>1811</v>
      </c>
      <c r="S28" t="s">
        <v>1678</v>
      </c>
      <c r="T28" s="3">
        <v>0.15</v>
      </c>
      <c r="U28" s="1" t="s">
        <v>1811</v>
      </c>
      <c r="V28" t="s">
        <v>1678</v>
      </c>
      <c r="W28" s="3">
        <v>0.15</v>
      </c>
      <c r="Y28" s="3"/>
      <c r="AA28" s="3"/>
      <c r="AC28" s="3"/>
      <c r="AE28" s="3"/>
    </row>
    <row r="29" spans="1:31" x14ac:dyDescent="0.3">
      <c r="A29" s="6" t="e">
        <f t="shared" si="0"/>
        <v>#N/A</v>
      </c>
      <c r="B29" s="3" t="e">
        <f t="shared" si="0"/>
        <v>#N/A</v>
      </c>
      <c r="C29" s="3" t="e">
        <f t="shared" si="1"/>
        <v>#N/A</v>
      </c>
      <c r="D29" s="3" t="e">
        <f t="shared" si="2"/>
        <v>#N/A</v>
      </c>
      <c r="E29" s="3" t="e">
        <f t="shared" si="3"/>
        <v>#N/A</v>
      </c>
      <c r="F29" t="s">
        <v>1747</v>
      </c>
      <c r="G29">
        <v>0.1</v>
      </c>
      <c r="L29" s="1" t="s">
        <v>1811</v>
      </c>
      <c r="M29" t="s">
        <v>1679</v>
      </c>
      <c r="N29" s="3">
        <v>0.35</v>
      </c>
      <c r="O29" s="1" t="s">
        <v>1811</v>
      </c>
      <c r="P29" t="s">
        <v>1679</v>
      </c>
      <c r="Q29" s="3">
        <v>0.35</v>
      </c>
      <c r="R29" s="1" t="s">
        <v>1811</v>
      </c>
      <c r="S29" t="s">
        <v>1679</v>
      </c>
      <c r="T29" s="3">
        <v>0.35</v>
      </c>
      <c r="U29" s="1" t="s">
        <v>1811</v>
      </c>
      <c r="V29" t="s">
        <v>1679</v>
      </c>
      <c r="W29" s="3">
        <v>0.35</v>
      </c>
      <c r="Y29" s="3"/>
      <c r="AA29" s="3"/>
      <c r="AC29" s="3"/>
      <c r="AE29" s="3"/>
    </row>
    <row r="30" spans="1:31" x14ac:dyDescent="0.3">
      <c r="A30" s="6" t="e">
        <f t="shared" si="0"/>
        <v>#N/A</v>
      </c>
      <c r="B30" s="3" t="e">
        <f t="shared" si="0"/>
        <v>#N/A</v>
      </c>
      <c r="C30" s="3" t="e">
        <f t="shared" si="1"/>
        <v>#N/A</v>
      </c>
      <c r="D30" s="3" t="e">
        <f t="shared" si="2"/>
        <v>#N/A</v>
      </c>
      <c r="E30" s="3" t="e">
        <f t="shared" si="3"/>
        <v>#N/A</v>
      </c>
      <c r="F30" t="s">
        <v>1879</v>
      </c>
      <c r="G30">
        <v>0.2</v>
      </c>
      <c r="L30" s="1" t="s">
        <v>1811</v>
      </c>
      <c r="M30" t="s">
        <v>1680</v>
      </c>
      <c r="N30" s="3">
        <v>0.4</v>
      </c>
      <c r="O30" s="1" t="s">
        <v>1811</v>
      </c>
      <c r="P30" t="s">
        <v>1680</v>
      </c>
      <c r="Q30" s="3">
        <v>0.4</v>
      </c>
      <c r="R30" s="1" t="s">
        <v>1811</v>
      </c>
      <c r="S30" t="s">
        <v>1680</v>
      </c>
      <c r="T30" s="3">
        <v>0.4</v>
      </c>
      <c r="U30" s="1" t="s">
        <v>1811</v>
      </c>
      <c r="V30" t="s">
        <v>1680</v>
      </c>
      <c r="W30" s="3">
        <v>0.4</v>
      </c>
      <c r="Y30" s="3"/>
      <c r="AA30" s="3"/>
      <c r="AC30" s="3"/>
      <c r="AE30" s="3"/>
    </row>
    <row r="31" spans="1:31" x14ac:dyDescent="0.3">
      <c r="A31" s="6" t="e">
        <f t="shared" si="0"/>
        <v>#N/A</v>
      </c>
      <c r="B31" s="3" t="e">
        <f t="shared" si="0"/>
        <v>#N/A</v>
      </c>
      <c r="C31" s="3" t="e">
        <f t="shared" si="1"/>
        <v>#N/A</v>
      </c>
      <c r="D31" s="3" t="e">
        <f t="shared" si="2"/>
        <v>#N/A</v>
      </c>
      <c r="E31" s="3" t="e">
        <f t="shared" si="3"/>
        <v>#N/A</v>
      </c>
      <c r="F31" t="s">
        <v>1880</v>
      </c>
      <c r="G31">
        <v>0.2</v>
      </c>
      <c r="L31" s="1" t="s">
        <v>1811</v>
      </c>
      <c r="M31" t="s">
        <v>1681</v>
      </c>
      <c r="N31" s="3">
        <v>0.35</v>
      </c>
      <c r="O31" s="1" t="s">
        <v>1811</v>
      </c>
      <c r="P31" t="s">
        <v>1681</v>
      </c>
      <c r="Q31" s="3">
        <v>0.35</v>
      </c>
      <c r="R31" s="1" t="s">
        <v>1811</v>
      </c>
      <c r="S31" t="s">
        <v>1681</v>
      </c>
      <c r="T31" s="3">
        <v>0.35</v>
      </c>
      <c r="U31" s="1" t="s">
        <v>1811</v>
      </c>
      <c r="V31" t="s">
        <v>1681</v>
      </c>
      <c r="W31" s="3">
        <v>0.35</v>
      </c>
      <c r="Y31" s="3"/>
      <c r="AA31" s="3"/>
      <c r="AC31" s="3"/>
      <c r="AE31" s="3"/>
    </row>
    <row r="32" spans="1:31" x14ac:dyDescent="0.3">
      <c r="A32" s="6" t="e">
        <f t="shared" si="0"/>
        <v>#N/A</v>
      </c>
      <c r="B32" s="3" t="e">
        <f t="shared" si="0"/>
        <v>#N/A</v>
      </c>
      <c r="C32" s="3" t="e">
        <f t="shared" si="1"/>
        <v>#N/A</v>
      </c>
      <c r="D32" s="3" t="e">
        <f t="shared" si="2"/>
        <v>#N/A</v>
      </c>
      <c r="E32" s="3" t="e">
        <f t="shared" si="3"/>
        <v>#N/A</v>
      </c>
      <c r="F32" t="s">
        <v>1883</v>
      </c>
      <c r="G32">
        <v>0.3</v>
      </c>
      <c r="L32" s="1" t="s">
        <v>1811</v>
      </c>
      <c r="M32" t="s">
        <v>1682</v>
      </c>
      <c r="N32" s="3">
        <v>0.8</v>
      </c>
      <c r="O32" s="1" t="s">
        <v>1811</v>
      </c>
      <c r="P32" t="s">
        <v>1682</v>
      </c>
      <c r="Q32" s="3">
        <v>0.8</v>
      </c>
      <c r="R32" s="1" t="s">
        <v>1811</v>
      </c>
      <c r="S32" t="s">
        <v>1682</v>
      </c>
      <c r="T32" s="3">
        <v>0.8</v>
      </c>
      <c r="U32" s="1" t="s">
        <v>1811</v>
      </c>
      <c r="V32" t="s">
        <v>1682</v>
      </c>
      <c r="W32" s="3">
        <v>0.8</v>
      </c>
      <c r="Y32" s="3"/>
      <c r="AA32" s="3"/>
      <c r="AC32" s="3"/>
      <c r="AE32" s="3"/>
    </row>
    <row r="33" spans="1:31" x14ac:dyDescent="0.3">
      <c r="A33" s="6" t="e">
        <f t="shared" si="0"/>
        <v>#N/A</v>
      </c>
      <c r="B33" s="3" t="e">
        <f t="shared" si="0"/>
        <v>#N/A</v>
      </c>
      <c r="C33" s="3" t="e">
        <f t="shared" si="1"/>
        <v>#N/A</v>
      </c>
      <c r="D33" s="3" t="e">
        <f t="shared" si="2"/>
        <v>#N/A</v>
      </c>
      <c r="E33" s="3" t="e">
        <f t="shared" si="3"/>
        <v>#N/A</v>
      </c>
      <c r="F33" t="s">
        <v>1884</v>
      </c>
      <c r="G33">
        <v>0.3</v>
      </c>
      <c r="L33" s="1" t="s">
        <v>1811</v>
      </c>
      <c r="M33" t="s">
        <v>1683</v>
      </c>
      <c r="N33" s="3">
        <v>0.85</v>
      </c>
      <c r="O33" s="1" t="s">
        <v>1811</v>
      </c>
      <c r="P33" t="s">
        <v>1683</v>
      </c>
      <c r="Q33" s="3">
        <v>0.85</v>
      </c>
      <c r="R33" s="1" t="s">
        <v>1811</v>
      </c>
      <c r="S33" t="s">
        <v>1683</v>
      </c>
      <c r="T33" s="3">
        <v>0.85</v>
      </c>
      <c r="U33" s="1" t="s">
        <v>1811</v>
      </c>
      <c r="V33" t="s">
        <v>1683</v>
      </c>
      <c r="W33" s="3">
        <v>0.85</v>
      </c>
      <c r="AE33" s="3"/>
    </row>
    <row r="34" spans="1:31" x14ac:dyDescent="0.3">
      <c r="A34" s="6" t="e">
        <f t="shared" si="0"/>
        <v>#N/A</v>
      </c>
      <c r="B34" s="3" t="e">
        <f t="shared" si="0"/>
        <v>#N/A</v>
      </c>
      <c r="C34" s="3" t="e">
        <f t="shared" si="1"/>
        <v>#N/A</v>
      </c>
      <c r="D34" s="3" t="e">
        <f t="shared" si="2"/>
        <v>#N/A</v>
      </c>
      <c r="E34" s="3" t="e">
        <f t="shared" si="3"/>
        <v>#N/A</v>
      </c>
      <c r="F34" t="s">
        <v>1885</v>
      </c>
      <c r="G34">
        <v>0.3</v>
      </c>
      <c r="L34" s="1" t="s">
        <v>1811</v>
      </c>
      <c r="M34" t="s">
        <v>1684</v>
      </c>
      <c r="N34" s="3">
        <v>0.75</v>
      </c>
      <c r="O34" s="1" t="s">
        <v>1811</v>
      </c>
      <c r="P34" t="s">
        <v>1684</v>
      </c>
      <c r="Q34" s="3">
        <v>0.75</v>
      </c>
      <c r="R34" s="1" t="s">
        <v>1811</v>
      </c>
      <c r="S34" t="s">
        <v>1684</v>
      </c>
      <c r="T34" s="3">
        <v>0.75</v>
      </c>
      <c r="U34" s="1" t="s">
        <v>1811</v>
      </c>
      <c r="V34" t="s">
        <v>1684</v>
      </c>
      <c r="W34" s="3">
        <v>0.75</v>
      </c>
      <c r="AE34" s="3"/>
    </row>
    <row r="35" spans="1:31" x14ac:dyDescent="0.3">
      <c r="A35" s="6" t="e">
        <f t="shared" si="0"/>
        <v>#N/A</v>
      </c>
      <c r="B35" s="3" t="e">
        <f t="shared" si="0"/>
        <v>#N/A</v>
      </c>
      <c r="C35" s="3" t="e">
        <f t="shared" si="1"/>
        <v>#N/A</v>
      </c>
      <c r="D35" s="3" t="e">
        <f t="shared" si="2"/>
        <v>#N/A</v>
      </c>
      <c r="E35" s="3" t="e">
        <f t="shared" si="3"/>
        <v>#N/A</v>
      </c>
      <c r="F35" t="s">
        <v>65</v>
      </c>
      <c r="G35">
        <v>0.4</v>
      </c>
      <c r="L35" s="1" t="s">
        <v>1811</v>
      </c>
      <c r="M35" t="s">
        <v>1685</v>
      </c>
      <c r="N35" s="3">
        <v>1.6</v>
      </c>
      <c r="O35" s="1" t="s">
        <v>1811</v>
      </c>
      <c r="P35" t="s">
        <v>1685</v>
      </c>
      <c r="Q35" s="3">
        <v>1.6</v>
      </c>
      <c r="R35" s="1" t="s">
        <v>1811</v>
      </c>
      <c r="S35" t="s">
        <v>1685</v>
      </c>
      <c r="T35" s="3">
        <v>1.6</v>
      </c>
      <c r="U35" s="1" t="s">
        <v>1811</v>
      </c>
      <c r="V35" t="s">
        <v>1685</v>
      </c>
      <c r="W35" s="3">
        <v>1.6</v>
      </c>
      <c r="AE35" s="3"/>
    </row>
    <row r="36" spans="1:31" x14ac:dyDescent="0.3">
      <c r="A36" s="6" t="e">
        <f t="shared" ref="A36:A99" si="4">IF($B$1="Solo",IF(L35="","",L35),IF($B$1="Duet",IF(O35="","",O35),IF($B$1="Mixed",IF(R35="","",R35),IF(U35="","",U35))))</f>
        <v>#N/A</v>
      </c>
      <c r="B36" s="3" t="e">
        <f t="shared" ref="B36:B67" si="5">IF($B$1="Solo",IF(M35="","",M35),IF($B$1="Duet",IF(P35="","",P35),IF($B$1="Mixed",IF(S35="","",S35),IF(V35="","",V35))))</f>
        <v>#N/A</v>
      </c>
      <c r="C36" s="3" t="e">
        <f t="shared" ref="C36:C67" si="6">IF($B$1="Solo",IF(N35="","",N35),IF($B$1="Duet",IF(Q35="","",Q35),IF($B$1="Mixed",IF(T35="","",T35),IF(W35="","",W35))))</f>
        <v>#N/A</v>
      </c>
      <c r="D36" s="3" t="e">
        <f t="shared" si="2"/>
        <v>#N/A</v>
      </c>
      <c r="E36" s="3" t="e">
        <f t="shared" si="3"/>
        <v>#N/A</v>
      </c>
      <c r="F36" t="s">
        <v>66</v>
      </c>
      <c r="G36">
        <v>0.5</v>
      </c>
      <c r="L36" s="1" t="s">
        <v>1811</v>
      </c>
      <c r="M36" t="s">
        <v>1686</v>
      </c>
      <c r="N36" s="3">
        <v>1.65</v>
      </c>
      <c r="O36" s="1" t="s">
        <v>1811</v>
      </c>
      <c r="P36" t="s">
        <v>1686</v>
      </c>
      <c r="Q36" s="3">
        <v>1.65</v>
      </c>
      <c r="R36" s="1" t="s">
        <v>1811</v>
      </c>
      <c r="S36" t="s">
        <v>1686</v>
      </c>
      <c r="T36" s="3">
        <v>1.65</v>
      </c>
      <c r="U36" s="1" t="s">
        <v>1811</v>
      </c>
      <c r="V36" t="s">
        <v>1686</v>
      </c>
      <c r="W36" s="3">
        <v>1.65</v>
      </c>
      <c r="AE36" s="3"/>
    </row>
    <row r="37" spans="1:31" x14ac:dyDescent="0.3">
      <c r="A37" s="6" t="e">
        <f t="shared" si="4"/>
        <v>#N/A</v>
      </c>
      <c r="B37" s="3" t="e">
        <f t="shared" si="5"/>
        <v>#N/A</v>
      </c>
      <c r="C37" s="3" t="e">
        <f t="shared" si="6"/>
        <v>#N/A</v>
      </c>
      <c r="D37" s="3" t="e">
        <f t="shared" si="2"/>
        <v>#N/A</v>
      </c>
      <c r="E37" s="3" t="e">
        <f t="shared" si="3"/>
        <v>#N/A</v>
      </c>
      <c r="F37" t="s">
        <v>67</v>
      </c>
      <c r="G37">
        <v>1</v>
      </c>
      <c r="L37" s="1" t="s">
        <v>1811</v>
      </c>
      <c r="M37" t="s">
        <v>1687</v>
      </c>
      <c r="N37" s="3">
        <v>1.1499999999999999</v>
      </c>
      <c r="O37" s="1" t="s">
        <v>1811</v>
      </c>
      <c r="P37" t="s">
        <v>1687</v>
      </c>
      <c r="Q37" s="3">
        <v>1.1499999999999999</v>
      </c>
      <c r="R37" s="1" t="s">
        <v>1811</v>
      </c>
      <c r="S37" t="s">
        <v>1687</v>
      </c>
      <c r="T37" s="3">
        <v>1.1499999999999999</v>
      </c>
      <c r="U37" s="1" t="s">
        <v>1811</v>
      </c>
      <c r="V37" t="s">
        <v>1687</v>
      </c>
      <c r="W37" s="3">
        <v>1.1499999999999999</v>
      </c>
      <c r="AE37" s="3"/>
    </row>
    <row r="38" spans="1:31" x14ac:dyDescent="0.3">
      <c r="A38" s="6" t="e">
        <f t="shared" si="4"/>
        <v>#N/A</v>
      </c>
      <c r="B38" s="3" t="e">
        <f t="shared" si="5"/>
        <v>#N/A</v>
      </c>
      <c r="C38" s="3" t="e">
        <f t="shared" si="6"/>
        <v>#N/A</v>
      </c>
      <c r="D38" s="3" t="e">
        <f t="shared" si="2"/>
        <v>#N/A</v>
      </c>
      <c r="E38" s="3" t="e">
        <f t="shared" si="3"/>
        <v>#N/A</v>
      </c>
      <c r="F38" t="s">
        <v>1889</v>
      </c>
      <c r="G38">
        <v>1.25</v>
      </c>
      <c r="L38" s="1" t="s">
        <v>1811</v>
      </c>
      <c r="M38" t="s">
        <v>1688</v>
      </c>
      <c r="N38" s="3">
        <v>2.4</v>
      </c>
      <c r="O38" s="1" t="s">
        <v>1811</v>
      </c>
      <c r="P38" t="s">
        <v>1688</v>
      </c>
      <c r="Q38" s="3">
        <v>2.4</v>
      </c>
      <c r="R38" s="1" t="s">
        <v>1811</v>
      </c>
      <c r="S38" t="s">
        <v>1688</v>
      </c>
      <c r="T38" s="3">
        <v>2.4</v>
      </c>
      <c r="U38" s="1" t="s">
        <v>1811</v>
      </c>
      <c r="V38" t="s">
        <v>1688</v>
      </c>
      <c r="W38" s="3">
        <v>2.4</v>
      </c>
      <c r="AE38" s="3"/>
    </row>
    <row r="39" spans="1:31" x14ac:dyDescent="0.3">
      <c r="A39" s="6" t="e">
        <f t="shared" si="4"/>
        <v>#N/A</v>
      </c>
      <c r="B39" s="3" t="e">
        <f t="shared" si="5"/>
        <v>#N/A</v>
      </c>
      <c r="C39" s="3" t="e">
        <f t="shared" si="6"/>
        <v>#N/A</v>
      </c>
      <c r="D39" s="3" t="e">
        <f t="shared" si="2"/>
        <v>#N/A</v>
      </c>
      <c r="E39" s="3" t="e">
        <f t="shared" si="3"/>
        <v>#N/A</v>
      </c>
      <c r="F39" t="s">
        <v>1890</v>
      </c>
      <c r="G39">
        <v>1.25</v>
      </c>
      <c r="L39" s="1" t="s">
        <v>1811</v>
      </c>
      <c r="M39" t="s">
        <v>1689</v>
      </c>
      <c r="N39" s="3">
        <v>2.4500000000000002</v>
      </c>
      <c r="O39" s="1" t="s">
        <v>1811</v>
      </c>
      <c r="P39" t="s">
        <v>1689</v>
      </c>
      <c r="Q39" s="3">
        <v>2.4500000000000002</v>
      </c>
      <c r="R39" s="1" t="s">
        <v>1811</v>
      </c>
      <c r="S39" t="s">
        <v>1689</v>
      </c>
      <c r="T39" s="3">
        <v>2.4500000000000002</v>
      </c>
      <c r="U39" s="1" t="s">
        <v>1811</v>
      </c>
      <c r="V39" t="s">
        <v>1689</v>
      </c>
      <c r="W39" s="3">
        <v>2.4500000000000002</v>
      </c>
      <c r="AE39" s="3"/>
    </row>
    <row r="40" spans="1:31" x14ac:dyDescent="0.3">
      <c r="A40" s="6" t="e">
        <f t="shared" si="4"/>
        <v>#N/A</v>
      </c>
      <c r="B40" s="3" t="e">
        <f t="shared" si="5"/>
        <v>#N/A</v>
      </c>
      <c r="C40" s="3" t="e">
        <f t="shared" si="6"/>
        <v>#N/A</v>
      </c>
      <c r="D40" s="3" t="e">
        <f t="shared" si="2"/>
        <v>#N/A</v>
      </c>
      <c r="E40" s="3" t="e">
        <f t="shared" si="3"/>
        <v>#N/A</v>
      </c>
      <c r="F40" t="s">
        <v>1749</v>
      </c>
      <c r="G40">
        <v>1.5</v>
      </c>
      <c r="L40" s="1" t="s">
        <v>1811</v>
      </c>
      <c r="M40" t="s">
        <v>1690</v>
      </c>
      <c r="N40" s="3">
        <v>1.55</v>
      </c>
      <c r="O40" s="1" t="s">
        <v>1811</v>
      </c>
      <c r="P40" t="s">
        <v>1690</v>
      </c>
      <c r="Q40" s="3">
        <v>1.55</v>
      </c>
      <c r="R40" s="1" t="s">
        <v>1811</v>
      </c>
      <c r="S40" t="s">
        <v>1690</v>
      </c>
      <c r="T40" s="3">
        <v>1.55</v>
      </c>
      <c r="U40" s="1" t="s">
        <v>1811</v>
      </c>
      <c r="V40" t="s">
        <v>1690</v>
      </c>
      <c r="W40" s="3">
        <v>1.55</v>
      </c>
      <c r="AE40" s="3"/>
    </row>
    <row r="41" spans="1:31" x14ac:dyDescent="0.3">
      <c r="A41" s="6" t="e">
        <f t="shared" si="4"/>
        <v>#N/A</v>
      </c>
      <c r="B41" s="3" t="e">
        <f t="shared" si="5"/>
        <v>#N/A</v>
      </c>
      <c r="C41" s="3" t="e">
        <f t="shared" si="6"/>
        <v>#N/A</v>
      </c>
      <c r="D41" s="3" t="e">
        <f t="shared" si="2"/>
        <v>#N/A</v>
      </c>
      <c r="E41" s="3" t="e">
        <f t="shared" si="3"/>
        <v>#N/A</v>
      </c>
      <c r="F41" t="s">
        <v>2038</v>
      </c>
      <c r="G41">
        <v>0.15</v>
      </c>
      <c r="L41" s="1" t="s">
        <v>1811</v>
      </c>
      <c r="M41" t="s">
        <v>1691</v>
      </c>
      <c r="N41" s="3">
        <v>3.2</v>
      </c>
      <c r="O41" s="1" t="s">
        <v>1811</v>
      </c>
      <c r="P41" t="s">
        <v>1691</v>
      </c>
      <c r="Q41" s="3">
        <v>3.2</v>
      </c>
      <c r="R41" s="1" t="s">
        <v>1811</v>
      </c>
      <c r="S41" t="s">
        <v>1691</v>
      </c>
      <c r="T41" s="3">
        <v>3.2</v>
      </c>
      <c r="U41" s="1" t="s">
        <v>1811</v>
      </c>
      <c r="V41" t="s">
        <v>1691</v>
      </c>
      <c r="W41" s="3">
        <v>3.2</v>
      </c>
      <c r="AE41" s="3"/>
    </row>
    <row r="42" spans="1:31" x14ac:dyDescent="0.3">
      <c r="A42" s="6" t="e">
        <f t="shared" si="4"/>
        <v>#N/A</v>
      </c>
      <c r="B42" s="3" t="e">
        <f t="shared" si="5"/>
        <v>#N/A</v>
      </c>
      <c r="C42" s="3" t="e">
        <f t="shared" si="6"/>
        <v>#N/A</v>
      </c>
      <c r="D42" s="3" t="e">
        <f t="shared" si="2"/>
        <v>#N/A</v>
      </c>
      <c r="E42" s="3" t="e">
        <f t="shared" si="3"/>
        <v>#N/A</v>
      </c>
      <c r="F42" t="s">
        <v>2039</v>
      </c>
      <c r="G42">
        <v>0.22500000000000001</v>
      </c>
      <c r="L42" s="1" t="s">
        <v>1811</v>
      </c>
      <c r="M42" t="s">
        <v>1692</v>
      </c>
      <c r="N42" s="3">
        <v>3.25</v>
      </c>
      <c r="O42" s="1" t="s">
        <v>1811</v>
      </c>
      <c r="P42" t="s">
        <v>1692</v>
      </c>
      <c r="Q42" s="3">
        <v>3.25</v>
      </c>
      <c r="R42" s="1" t="s">
        <v>1811</v>
      </c>
      <c r="S42" t="s">
        <v>1692</v>
      </c>
      <c r="T42" s="3">
        <v>3.25</v>
      </c>
      <c r="U42" s="1" t="s">
        <v>1811</v>
      </c>
      <c r="V42" t="s">
        <v>1692</v>
      </c>
      <c r="W42" s="3">
        <v>3.25</v>
      </c>
    </row>
    <row r="43" spans="1:31" x14ac:dyDescent="0.3">
      <c r="A43" s="6" t="e">
        <f t="shared" si="4"/>
        <v>#N/A</v>
      </c>
      <c r="B43" s="3" t="e">
        <f t="shared" si="5"/>
        <v>#N/A</v>
      </c>
      <c r="C43" s="3" t="e">
        <f t="shared" si="6"/>
        <v>#N/A</v>
      </c>
      <c r="D43" s="3" t="e">
        <f t="shared" si="2"/>
        <v>#N/A</v>
      </c>
      <c r="E43" s="3" t="e">
        <f t="shared" si="3"/>
        <v>#N/A</v>
      </c>
      <c r="F43" t="s">
        <v>2040</v>
      </c>
      <c r="G43">
        <v>0.25</v>
      </c>
      <c r="L43" s="1" t="s">
        <v>1811</v>
      </c>
      <c r="M43" t="s">
        <v>1693</v>
      </c>
      <c r="N43" s="3">
        <v>1.95</v>
      </c>
      <c r="O43" s="1" t="s">
        <v>1811</v>
      </c>
      <c r="P43" t="s">
        <v>1693</v>
      </c>
      <c r="Q43" s="3">
        <v>1.95</v>
      </c>
      <c r="R43" s="1" t="s">
        <v>1811</v>
      </c>
      <c r="S43" t="s">
        <v>1693</v>
      </c>
      <c r="T43" s="3">
        <v>1.95</v>
      </c>
      <c r="U43" s="1" t="s">
        <v>1811</v>
      </c>
      <c r="V43" t="s">
        <v>1693</v>
      </c>
      <c r="W43" s="3">
        <v>1.95</v>
      </c>
    </row>
    <row r="44" spans="1:31" x14ac:dyDescent="0.3">
      <c r="A44" s="6" t="e">
        <f t="shared" si="4"/>
        <v>#N/A</v>
      </c>
      <c r="B44" s="3" t="e">
        <f t="shared" si="5"/>
        <v>#N/A</v>
      </c>
      <c r="C44" s="3" t="e">
        <f t="shared" si="6"/>
        <v>#N/A</v>
      </c>
      <c r="D44" s="3" t="e">
        <f t="shared" si="2"/>
        <v>#N/A</v>
      </c>
      <c r="E44" s="3" t="e">
        <f t="shared" si="3"/>
        <v>#N/A</v>
      </c>
      <c r="F44" t="s">
        <v>2041</v>
      </c>
      <c r="G44">
        <v>0.25</v>
      </c>
      <c r="L44" s="1" t="s">
        <v>1811</v>
      </c>
      <c r="M44" t="s">
        <v>1694</v>
      </c>
      <c r="N44" s="3">
        <v>4</v>
      </c>
      <c r="O44" s="1" t="s">
        <v>1811</v>
      </c>
      <c r="P44" t="s">
        <v>1694</v>
      </c>
      <c r="Q44" s="3">
        <v>4</v>
      </c>
      <c r="R44" s="1" t="s">
        <v>1811</v>
      </c>
      <c r="S44" t="s">
        <v>1694</v>
      </c>
      <c r="T44" s="3">
        <v>4</v>
      </c>
      <c r="U44" s="1" t="s">
        <v>1811</v>
      </c>
      <c r="V44" t="s">
        <v>1694</v>
      </c>
      <c r="W44" s="3">
        <v>4</v>
      </c>
    </row>
    <row r="45" spans="1:31" x14ac:dyDescent="0.3">
      <c r="A45" s="6" t="e">
        <f t="shared" si="4"/>
        <v>#N/A</v>
      </c>
      <c r="B45" s="3" t="e">
        <f t="shared" si="5"/>
        <v>#N/A</v>
      </c>
      <c r="C45" s="3" t="e">
        <f t="shared" si="6"/>
        <v>#N/A</v>
      </c>
      <c r="D45" s="3" t="e">
        <f t="shared" si="2"/>
        <v>#N/A</v>
      </c>
      <c r="E45" s="3" t="e">
        <f t="shared" si="3"/>
        <v>#N/A</v>
      </c>
      <c r="F45" t="s">
        <v>2042</v>
      </c>
      <c r="G45">
        <v>0.32500000000000001</v>
      </c>
      <c r="L45" s="1" t="s">
        <v>1811</v>
      </c>
      <c r="M45" t="s">
        <v>1695</v>
      </c>
      <c r="N45" s="3">
        <v>4.05</v>
      </c>
      <c r="O45" s="1" t="s">
        <v>1811</v>
      </c>
      <c r="P45" t="s">
        <v>1695</v>
      </c>
      <c r="Q45" s="3">
        <v>4.05</v>
      </c>
      <c r="R45" s="1" t="s">
        <v>1811</v>
      </c>
      <c r="S45" t="s">
        <v>1695</v>
      </c>
      <c r="T45" s="3">
        <v>4.05</v>
      </c>
      <c r="U45" s="1" t="s">
        <v>1811</v>
      </c>
      <c r="V45" t="s">
        <v>1695</v>
      </c>
      <c r="W45" s="3">
        <v>4.05</v>
      </c>
    </row>
    <row r="46" spans="1:31" x14ac:dyDescent="0.3">
      <c r="A46" s="6" t="e">
        <f t="shared" si="4"/>
        <v>#N/A</v>
      </c>
      <c r="B46" s="3" t="e">
        <f t="shared" si="5"/>
        <v>#N/A</v>
      </c>
      <c r="C46" s="3" t="e">
        <f t="shared" si="6"/>
        <v>#N/A</v>
      </c>
      <c r="D46" s="3" t="e">
        <f t="shared" si="2"/>
        <v>#N/A</v>
      </c>
      <c r="E46" s="3" t="e">
        <f t="shared" si="3"/>
        <v>#N/A</v>
      </c>
      <c r="F46" t="s">
        <v>2043</v>
      </c>
      <c r="G46">
        <v>0.32500000000000001</v>
      </c>
      <c r="L46" s="1" t="s">
        <v>1811</v>
      </c>
      <c r="M46" t="s">
        <v>1696</v>
      </c>
      <c r="N46" s="3">
        <v>2.35</v>
      </c>
      <c r="O46" s="1" t="s">
        <v>1811</v>
      </c>
      <c r="P46" t="s">
        <v>1696</v>
      </c>
      <c r="Q46" s="3">
        <v>2.35</v>
      </c>
      <c r="R46" s="1" t="s">
        <v>1811</v>
      </c>
      <c r="S46" t="s">
        <v>1696</v>
      </c>
      <c r="T46" s="3">
        <v>2.35</v>
      </c>
      <c r="U46" s="1" t="s">
        <v>1811</v>
      </c>
      <c r="V46" t="s">
        <v>1696</v>
      </c>
      <c r="W46" s="3">
        <v>2.35</v>
      </c>
    </row>
    <row r="47" spans="1:31" x14ac:dyDescent="0.3">
      <c r="A47" s="6" t="e">
        <f t="shared" si="4"/>
        <v>#N/A</v>
      </c>
      <c r="B47" s="3" t="e">
        <f t="shared" si="5"/>
        <v>#N/A</v>
      </c>
      <c r="C47" s="3" t="e">
        <f t="shared" si="6"/>
        <v>#N/A</v>
      </c>
      <c r="D47" s="3" t="e">
        <f t="shared" si="2"/>
        <v>#N/A</v>
      </c>
      <c r="E47" s="3" t="e">
        <f t="shared" si="3"/>
        <v>#N/A</v>
      </c>
      <c r="F47" t="s">
        <v>2044</v>
      </c>
      <c r="G47">
        <v>0.32500000000000001</v>
      </c>
      <c r="L47" s="1" t="s">
        <v>1811</v>
      </c>
      <c r="M47" t="s">
        <v>1697</v>
      </c>
      <c r="N47" s="3">
        <v>4.8</v>
      </c>
      <c r="O47" s="1" t="s">
        <v>1811</v>
      </c>
      <c r="P47" t="s">
        <v>1697</v>
      </c>
      <c r="Q47" s="3">
        <v>4.8</v>
      </c>
      <c r="R47" s="1" t="s">
        <v>1811</v>
      </c>
      <c r="S47" t="s">
        <v>1697</v>
      </c>
      <c r="T47" s="3">
        <v>4.8</v>
      </c>
      <c r="U47" s="1" t="s">
        <v>1811</v>
      </c>
      <c r="V47" t="s">
        <v>1697</v>
      </c>
      <c r="W47" s="3">
        <v>4.8</v>
      </c>
    </row>
    <row r="48" spans="1:31" x14ac:dyDescent="0.3">
      <c r="A48" s="6" t="e">
        <f t="shared" si="4"/>
        <v>#N/A</v>
      </c>
      <c r="B48" s="3" t="e">
        <f t="shared" si="5"/>
        <v>#N/A</v>
      </c>
      <c r="C48" s="3" t="e">
        <f t="shared" si="6"/>
        <v>#N/A</v>
      </c>
      <c r="D48" s="3" t="e">
        <f t="shared" si="2"/>
        <v>#N/A</v>
      </c>
      <c r="E48" s="3" t="e">
        <f t="shared" si="3"/>
        <v>#N/A</v>
      </c>
      <c r="F48" t="s">
        <v>2045</v>
      </c>
      <c r="G48">
        <v>0.32500000000000001</v>
      </c>
      <c r="L48" s="1" t="s">
        <v>1811</v>
      </c>
      <c r="M48" t="s">
        <v>1698</v>
      </c>
      <c r="N48" s="3">
        <v>4.8499999999999996</v>
      </c>
      <c r="O48" s="1" t="s">
        <v>1811</v>
      </c>
      <c r="P48" t="s">
        <v>1698</v>
      </c>
      <c r="Q48" s="3">
        <v>4.8499999999999996</v>
      </c>
      <c r="R48" s="1" t="s">
        <v>1811</v>
      </c>
      <c r="S48" t="s">
        <v>1698</v>
      </c>
      <c r="T48" s="3">
        <v>4.8499999999999996</v>
      </c>
      <c r="U48" s="1" t="s">
        <v>1811</v>
      </c>
      <c r="V48" t="s">
        <v>1698</v>
      </c>
      <c r="W48" s="3">
        <v>4.8499999999999996</v>
      </c>
    </row>
    <row r="49" spans="1:23" x14ac:dyDescent="0.3">
      <c r="A49" s="6" t="e">
        <f t="shared" si="4"/>
        <v>#N/A</v>
      </c>
      <c r="B49" s="3" t="e">
        <f t="shared" si="5"/>
        <v>#N/A</v>
      </c>
      <c r="C49" s="3" t="e">
        <f t="shared" si="6"/>
        <v>#N/A</v>
      </c>
      <c r="D49" s="3" t="e">
        <f t="shared" si="2"/>
        <v>#N/A</v>
      </c>
      <c r="E49" s="3" t="e">
        <f t="shared" si="3"/>
        <v>#N/A</v>
      </c>
      <c r="F49" t="s">
        <v>2046</v>
      </c>
      <c r="G49">
        <v>0.4</v>
      </c>
      <c r="L49" s="1" t="s">
        <v>1811</v>
      </c>
      <c r="M49" t="s">
        <v>1699</v>
      </c>
      <c r="N49" s="3">
        <v>2.75</v>
      </c>
      <c r="O49" s="1" t="s">
        <v>1811</v>
      </c>
      <c r="P49" t="s">
        <v>1699</v>
      </c>
      <c r="Q49" s="3">
        <v>2.75</v>
      </c>
      <c r="R49" s="1" t="s">
        <v>1811</v>
      </c>
      <c r="S49" t="s">
        <v>1699</v>
      </c>
      <c r="T49" s="3">
        <v>2.75</v>
      </c>
      <c r="U49" s="1" t="s">
        <v>1811</v>
      </c>
      <c r="V49" t="s">
        <v>1699</v>
      </c>
      <c r="W49" s="3">
        <v>2.75</v>
      </c>
    </row>
    <row r="50" spans="1:23" x14ac:dyDescent="0.3">
      <c r="A50" s="6" t="e">
        <f t="shared" si="4"/>
        <v>#N/A</v>
      </c>
      <c r="B50" s="3" t="e">
        <f t="shared" si="5"/>
        <v>#N/A</v>
      </c>
      <c r="C50" s="3" t="e">
        <f t="shared" si="6"/>
        <v>#N/A</v>
      </c>
      <c r="D50" s="3" t="e">
        <f t="shared" si="2"/>
        <v>#N/A</v>
      </c>
      <c r="E50" s="3" t="e">
        <f t="shared" si="3"/>
        <v>#N/A</v>
      </c>
      <c r="F50" t="s">
        <v>2047</v>
      </c>
      <c r="G50">
        <v>0.4</v>
      </c>
      <c r="L50" s="1" t="s">
        <v>1811</v>
      </c>
      <c r="M50" t="s">
        <v>1700</v>
      </c>
      <c r="N50" s="3">
        <v>3.15</v>
      </c>
      <c r="O50" s="1" t="s">
        <v>1811</v>
      </c>
      <c r="P50" t="s">
        <v>1700</v>
      </c>
      <c r="Q50" s="3">
        <v>3.15</v>
      </c>
      <c r="R50" s="1" t="s">
        <v>1811</v>
      </c>
      <c r="S50" t="s">
        <v>1700</v>
      </c>
      <c r="T50" s="3">
        <v>3.15</v>
      </c>
      <c r="U50" s="1" t="s">
        <v>1811</v>
      </c>
      <c r="V50" t="s">
        <v>1700</v>
      </c>
      <c r="W50" s="3">
        <v>3.15</v>
      </c>
    </row>
    <row r="51" spans="1:23" x14ac:dyDescent="0.3">
      <c r="A51" s="6" t="e">
        <f t="shared" si="4"/>
        <v>#N/A</v>
      </c>
      <c r="B51" s="3" t="e">
        <f t="shared" si="5"/>
        <v>#N/A</v>
      </c>
      <c r="C51" s="3" t="e">
        <f t="shared" si="6"/>
        <v>#N/A</v>
      </c>
      <c r="D51" s="3" t="e">
        <f t="shared" si="2"/>
        <v>#N/A</v>
      </c>
      <c r="E51" s="3" t="e">
        <f t="shared" si="3"/>
        <v>#N/A</v>
      </c>
      <c r="F51" t="s">
        <v>2048</v>
      </c>
      <c r="G51">
        <v>0.4</v>
      </c>
      <c r="L51" s="1" t="s">
        <v>1811</v>
      </c>
      <c r="M51" t="s">
        <v>1701</v>
      </c>
      <c r="N51" s="3">
        <v>3.55</v>
      </c>
      <c r="O51" s="1" t="s">
        <v>1811</v>
      </c>
      <c r="P51" t="s">
        <v>1701</v>
      </c>
      <c r="Q51" s="3">
        <v>3.55</v>
      </c>
      <c r="R51" s="1" t="s">
        <v>1811</v>
      </c>
      <c r="S51" t="s">
        <v>1701</v>
      </c>
      <c r="T51" s="3">
        <v>3.55</v>
      </c>
      <c r="U51" s="1" t="s">
        <v>1811</v>
      </c>
      <c r="V51" t="s">
        <v>1701</v>
      </c>
      <c r="W51" s="3">
        <v>3.55</v>
      </c>
    </row>
    <row r="52" spans="1:23" x14ac:dyDescent="0.3">
      <c r="A52" s="6" t="e">
        <f t="shared" si="4"/>
        <v>#N/A</v>
      </c>
      <c r="B52" s="3" t="e">
        <f t="shared" si="5"/>
        <v>#N/A</v>
      </c>
      <c r="C52" s="3" t="e">
        <f t="shared" si="6"/>
        <v>#N/A</v>
      </c>
      <c r="D52" s="3" t="e">
        <f t="shared" si="2"/>
        <v>#N/A</v>
      </c>
      <c r="E52" s="3" t="e">
        <f t="shared" si="3"/>
        <v>#N/A</v>
      </c>
      <c r="F52" t="s">
        <v>2049</v>
      </c>
      <c r="G52">
        <v>0.4</v>
      </c>
      <c r="L52" s="1" t="s">
        <v>1811</v>
      </c>
      <c r="M52" t="s">
        <v>1702</v>
      </c>
      <c r="N52" s="3">
        <v>3.95</v>
      </c>
      <c r="O52" s="1" t="s">
        <v>1811</v>
      </c>
      <c r="P52" t="s">
        <v>1702</v>
      </c>
      <c r="Q52" s="3">
        <v>3.95</v>
      </c>
      <c r="R52" s="1" t="s">
        <v>1811</v>
      </c>
      <c r="S52" t="s">
        <v>1702</v>
      </c>
      <c r="T52" s="3">
        <v>3.95</v>
      </c>
      <c r="U52" s="1" t="s">
        <v>1811</v>
      </c>
      <c r="V52" t="s">
        <v>1702</v>
      </c>
      <c r="W52" s="3">
        <v>3.95</v>
      </c>
    </row>
    <row r="53" spans="1:23" x14ac:dyDescent="0.3">
      <c r="A53" s="6" t="e">
        <f t="shared" si="4"/>
        <v>#N/A</v>
      </c>
      <c r="B53" s="3" t="e">
        <f t="shared" si="5"/>
        <v>#N/A</v>
      </c>
      <c r="C53" s="3" t="e">
        <f t="shared" si="6"/>
        <v>#N/A</v>
      </c>
      <c r="D53" s="3" t="e">
        <f t="shared" si="2"/>
        <v>#N/A</v>
      </c>
      <c r="E53" s="3" t="e">
        <f t="shared" si="3"/>
        <v>#N/A</v>
      </c>
      <c r="F53" t="s">
        <v>2050</v>
      </c>
      <c r="G53">
        <v>0.4</v>
      </c>
      <c r="L53" s="1" t="s">
        <v>1812</v>
      </c>
      <c r="M53" t="s">
        <v>1703</v>
      </c>
      <c r="N53" s="3">
        <v>0.1</v>
      </c>
      <c r="O53" s="1" t="s">
        <v>1812</v>
      </c>
      <c r="P53" t="s">
        <v>1703</v>
      </c>
      <c r="Q53" s="3">
        <v>0.1</v>
      </c>
      <c r="R53" s="1" t="s">
        <v>1812</v>
      </c>
      <c r="S53" t="s">
        <v>1703</v>
      </c>
      <c r="T53" s="3">
        <v>0.1</v>
      </c>
      <c r="U53" s="1" t="s">
        <v>1812</v>
      </c>
      <c r="V53" t="s">
        <v>1703</v>
      </c>
      <c r="W53" s="3">
        <v>0.1</v>
      </c>
    </row>
    <row r="54" spans="1:23" x14ac:dyDescent="0.3">
      <c r="A54" s="6" t="e">
        <f t="shared" si="4"/>
        <v>#N/A</v>
      </c>
      <c r="B54" s="3" t="e">
        <f t="shared" si="5"/>
        <v>#N/A</v>
      </c>
      <c r="C54" s="3" t="e">
        <f t="shared" si="6"/>
        <v>#N/A</v>
      </c>
      <c r="D54" s="3" t="e">
        <f t="shared" si="2"/>
        <v>#N/A</v>
      </c>
      <c r="E54" s="3" t="e">
        <f t="shared" si="3"/>
        <v>#N/A</v>
      </c>
      <c r="F54" t="s">
        <v>2051</v>
      </c>
      <c r="G54">
        <v>0.45</v>
      </c>
      <c r="L54" s="1" t="s">
        <v>1812</v>
      </c>
      <c r="M54" t="s">
        <v>1704</v>
      </c>
      <c r="N54" s="3">
        <v>0.15</v>
      </c>
      <c r="O54" s="1" t="s">
        <v>1812</v>
      </c>
      <c r="P54" t="s">
        <v>1704</v>
      </c>
      <c r="Q54" s="3">
        <v>0.15</v>
      </c>
      <c r="R54" s="1" t="s">
        <v>1812</v>
      </c>
      <c r="S54" t="s">
        <v>1704</v>
      </c>
      <c r="T54" s="3">
        <v>0.15</v>
      </c>
      <c r="U54" s="1" t="s">
        <v>1812</v>
      </c>
      <c r="V54" t="s">
        <v>1704</v>
      </c>
      <c r="W54" s="3">
        <v>0.15</v>
      </c>
    </row>
    <row r="55" spans="1:23" x14ac:dyDescent="0.3">
      <c r="A55" s="6" t="e">
        <f t="shared" si="4"/>
        <v>#N/A</v>
      </c>
      <c r="B55" s="3" t="e">
        <f t="shared" si="5"/>
        <v>#N/A</v>
      </c>
      <c r="C55" s="3" t="e">
        <f t="shared" si="6"/>
        <v>#N/A</v>
      </c>
      <c r="D55" s="3" t="e">
        <f t="shared" si="2"/>
        <v>#N/A</v>
      </c>
      <c r="E55" s="3" t="e">
        <f t="shared" si="3"/>
        <v>#N/A</v>
      </c>
      <c r="F55" t="s">
        <v>2052</v>
      </c>
      <c r="G55">
        <v>0.45</v>
      </c>
      <c r="L55" s="1" t="s">
        <v>1812</v>
      </c>
      <c r="M55" t="s">
        <v>1705</v>
      </c>
      <c r="N55" s="3">
        <v>0.2</v>
      </c>
      <c r="O55" s="1" t="s">
        <v>1812</v>
      </c>
      <c r="P55" t="s">
        <v>1705</v>
      </c>
      <c r="Q55" s="3">
        <v>0.2</v>
      </c>
      <c r="R55" s="1" t="s">
        <v>1812</v>
      </c>
      <c r="S55" t="s">
        <v>1705</v>
      </c>
      <c r="T55" s="3">
        <v>0.2</v>
      </c>
      <c r="U55" s="1" t="s">
        <v>1812</v>
      </c>
      <c r="V55" t="s">
        <v>1705</v>
      </c>
      <c r="W55" s="3">
        <v>0.2</v>
      </c>
    </row>
    <row r="56" spans="1:23" x14ac:dyDescent="0.3">
      <c r="A56" s="6" t="e">
        <f t="shared" si="4"/>
        <v>#N/A</v>
      </c>
      <c r="B56" s="3" t="e">
        <f t="shared" si="5"/>
        <v>#N/A</v>
      </c>
      <c r="C56" s="3" t="e">
        <f t="shared" si="6"/>
        <v>#N/A</v>
      </c>
      <c r="D56" s="3" t="e">
        <f t="shared" si="2"/>
        <v>#N/A</v>
      </c>
      <c r="E56" s="3" t="e">
        <f t="shared" si="3"/>
        <v>#N/A</v>
      </c>
      <c r="F56" t="s">
        <v>2053</v>
      </c>
      <c r="G56">
        <v>0.45</v>
      </c>
      <c r="L56" s="1" t="s">
        <v>1812</v>
      </c>
      <c r="M56" t="s">
        <v>1843</v>
      </c>
      <c r="N56" s="3">
        <v>0.25</v>
      </c>
      <c r="O56" s="1" t="s">
        <v>1812</v>
      </c>
      <c r="P56" t="s">
        <v>1843</v>
      </c>
      <c r="Q56" s="3">
        <v>0.25</v>
      </c>
      <c r="R56" s="1" t="s">
        <v>1812</v>
      </c>
      <c r="S56" t="s">
        <v>1843</v>
      </c>
      <c r="T56" s="3">
        <v>0.25</v>
      </c>
      <c r="U56" s="1" t="s">
        <v>1812</v>
      </c>
      <c r="V56" t="s">
        <v>1843</v>
      </c>
      <c r="W56" s="3">
        <v>0.25</v>
      </c>
    </row>
    <row r="57" spans="1:23" x14ac:dyDescent="0.3">
      <c r="A57" s="6" t="e">
        <f t="shared" si="4"/>
        <v>#N/A</v>
      </c>
      <c r="B57" s="3" t="e">
        <f t="shared" si="5"/>
        <v>#N/A</v>
      </c>
      <c r="C57" s="3" t="e">
        <f t="shared" si="6"/>
        <v>#N/A</v>
      </c>
      <c r="D57" s="3" t="e">
        <f t="shared" si="2"/>
        <v>#N/A</v>
      </c>
      <c r="E57" s="3" t="e">
        <f t="shared" si="3"/>
        <v>#N/A</v>
      </c>
      <c r="F57" t="s">
        <v>2054</v>
      </c>
      <c r="G57">
        <v>0.45</v>
      </c>
      <c r="L57" s="1" t="s">
        <v>1812</v>
      </c>
      <c r="M57" t="s">
        <v>1844</v>
      </c>
      <c r="N57" s="3">
        <v>0.25</v>
      </c>
      <c r="O57" s="1" t="s">
        <v>1812</v>
      </c>
      <c r="P57" t="s">
        <v>1844</v>
      </c>
      <c r="Q57" s="3">
        <v>0.25</v>
      </c>
      <c r="R57" s="1" t="s">
        <v>1812</v>
      </c>
      <c r="S57" t="s">
        <v>1844</v>
      </c>
      <c r="T57" s="3">
        <v>0.25</v>
      </c>
      <c r="U57" s="1" t="s">
        <v>1812</v>
      </c>
      <c r="V57" t="s">
        <v>1844</v>
      </c>
      <c r="W57" s="3">
        <v>0.25</v>
      </c>
    </row>
    <row r="58" spans="1:23" x14ac:dyDescent="0.3">
      <c r="A58" s="6" t="e">
        <f t="shared" si="4"/>
        <v>#N/A</v>
      </c>
      <c r="B58" s="3" t="e">
        <f t="shared" si="5"/>
        <v>#N/A</v>
      </c>
      <c r="C58" s="3" t="e">
        <f t="shared" si="6"/>
        <v>#N/A</v>
      </c>
      <c r="D58" s="3" t="e">
        <f t="shared" si="2"/>
        <v>#N/A</v>
      </c>
      <c r="E58" s="3" t="e">
        <f t="shared" si="3"/>
        <v>#N/A</v>
      </c>
      <c r="F58" t="s">
        <v>2055</v>
      </c>
      <c r="G58">
        <v>0.45</v>
      </c>
      <c r="L58" s="1" t="s">
        <v>1812</v>
      </c>
      <c r="M58" t="s">
        <v>60</v>
      </c>
      <c r="N58" s="3">
        <v>0.2</v>
      </c>
      <c r="O58" s="1" t="s">
        <v>1812</v>
      </c>
      <c r="P58" t="s">
        <v>60</v>
      </c>
      <c r="Q58" s="3">
        <v>0.2</v>
      </c>
      <c r="R58" s="1" t="s">
        <v>1812</v>
      </c>
      <c r="S58" t="s">
        <v>60</v>
      </c>
      <c r="T58" s="3">
        <v>0.2</v>
      </c>
      <c r="U58" s="1" t="s">
        <v>1812</v>
      </c>
      <c r="V58" t="s">
        <v>60</v>
      </c>
      <c r="W58" s="3">
        <v>0.2</v>
      </c>
    </row>
    <row r="59" spans="1:23" x14ac:dyDescent="0.3">
      <c r="A59" s="6" t="e">
        <f t="shared" si="4"/>
        <v>#N/A</v>
      </c>
      <c r="B59" s="3" t="e">
        <f t="shared" si="5"/>
        <v>#N/A</v>
      </c>
      <c r="C59" s="3" t="e">
        <f t="shared" si="6"/>
        <v>#N/A</v>
      </c>
      <c r="D59" s="3" t="e">
        <f t="shared" si="2"/>
        <v>#N/A</v>
      </c>
      <c r="E59" s="3" t="e">
        <f t="shared" si="3"/>
        <v>#N/A</v>
      </c>
      <c r="F59" t="s">
        <v>2056</v>
      </c>
      <c r="G59">
        <v>0.55000000000000004</v>
      </c>
      <c r="L59" s="1" t="s">
        <v>1812</v>
      </c>
      <c r="M59" t="s">
        <v>1706</v>
      </c>
      <c r="N59" s="3">
        <v>0.35</v>
      </c>
      <c r="O59" s="1" t="s">
        <v>1812</v>
      </c>
      <c r="P59" t="s">
        <v>1706</v>
      </c>
      <c r="Q59" s="3">
        <v>0.35</v>
      </c>
      <c r="R59" s="1" t="s">
        <v>1812</v>
      </c>
      <c r="S59" t="s">
        <v>1706</v>
      </c>
      <c r="T59" s="3">
        <v>0.35</v>
      </c>
      <c r="U59" s="1" t="s">
        <v>1812</v>
      </c>
      <c r="V59" t="s">
        <v>1706</v>
      </c>
      <c r="W59" s="3">
        <v>0.35</v>
      </c>
    </row>
    <row r="60" spans="1:23" x14ac:dyDescent="0.3">
      <c r="A60" s="6" t="e">
        <f t="shared" si="4"/>
        <v>#N/A</v>
      </c>
      <c r="B60" s="3" t="e">
        <f t="shared" si="5"/>
        <v>#N/A</v>
      </c>
      <c r="C60" s="3" t="e">
        <f t="shared" si="6"/>
        <v>#N/A</v>
      </c>
      <c r="D60" s="3" t="e">
        <f t="shared" si="2"/>
        <v>#N/A</v>
      </c>
      <c r="E60" s="3" t="e">
        <f t="shared" si="3"/>
        <v>#N/A</v>
      </c>
      <c r="F60" t="s">
        <v>2057</v>
      </c>
      <c r="G60">
        <v>0.55000000000000004</v>
      </c>
      <c r="L60" s="1" t="s">
        <v>1812</v>
      </c>
      <c r="M60" t="s">
        <v>1707</v>
      </c>
      <c r="N60" s="3">
        <v>0.45</v>
      </c>
      <c r="O60" s="1" t="s">
        <v>1812</v>
      </c>
      <c r="P60" t="s">
        <v>1707</v>
      </c>
      <c r="Q60" s="3">
        <v>0.45</v>
      </c>
      <c r="R60" s="1" t="s">
        <v>1812</v>
      </c>
      <c r="S60" t="s">
        <v>1707</v>
      </c>
      <c r="T60" s="3">
        <v>0.45</v>
      </c>
      <c r="U60" s="1" t="s">
        <v>1812</v>
      </c>
      <c r="V60" t="s">
        <v>1707</v>
      </c>
      <c r="W60" s="3">
        <v>0.45</v>
      </c>
    </row>
    <row r="61" spans="1:23" x14ac:dyDescent="0.3">
      <c r="A61" s="6" t="e">
        <f t="shared" si="4"/>
        <v>#N/A</v>
      </c>
      <c r="B61" s="3" t="e">
        <f t="shared" si="5"/>
        <v>#N/A</v>
      </c>
      <c r="C61" s="3" t="e">
        <f t="shared" si="6"/>
        <v>#N/A</v>
      </c>
      <c r="D61" s="3" t="e">
        <f t="shared" si="2"/>
        <v>#N/A</v>
      </c>
      <c r="E61" s="3" t="e">
        <f t="shared" si="3"/>
        <v>#N/A</v>
      </c>
      <c r="F61" t="s">
        <v>2058</v>
      </c>
      <c r="G61">
        <v>0.55000000000000004</v>
      </c>
      <c r="L61" s="1" t="s">
        <v>1812</v>
      </c>
      <c r="M61" t="s">
        <v>1708</v>
      </c>
      <c r="N61" s="3">
        <v>0.5</v>
      </c>
      <c r="O61" s="1" t="s">
        <v>1812</v>
      </c>
      <c r="P61" t="s">
        <v>1708</v>
      </c>
      <c r="Q61" s="3">
        <v>0.5</v>
      </c>
      <c r="R61" s="1" t="s">
        <v>1812</v>
      </c>
      <c r="S61" t="s">
        <v>1708</v>
      </c>
      <c r="T61" s="3">
        <v>0.5</v>
      </c>
      <c r="U61" s="1" t="s">
        <v>1812</v>
      </c>
      <c r="V61" t="s">
        <v>1708</v>
      </c>
      <c r="W61" s="3">
        <v>0.5</v>
      </c>
    </row>
    <row r="62" spans="1:23" x14ac:dyDescent="0.3">
      <c r="A62" s="6" t="e">
        <f t="shared" si="4"/>
        <v>#N/A</v>
      </c>
      <c r="B62" s="3" t="e">
        <f t="shared" si="5"/>
        <v>#N/A</v>
      </c>
      <c r="C62" s="3" t="e">
        <f t="shared" si="6"/>
        <v>#N/A</v>
      </c>
      <c r="D62" s="3" t="e">
        <f t="shared" si="2"/>
        <v>#N/A</v>
      </c>
      <c r="E62" s="3" t="e">
        <f t="shared" si="3"/>
        <v>#N/A</v>
      </c>
      <c r="F62" t="s">
        <v>2059</v>
      </c>
      <c r="G62">
        <v>0.75</v>
      </c>
      <c r="L62" s="1" t="s">
        <v>1812</v>
      </c>
      <c r="M62" t="s">
        <v>1709</v>
      </c>
      <c r="N62" s="3">
        <v>0.55000000000000004</v>
      </c>
      <c r="O62" s="1" t="s">
        <v>1812</v>
      </c>
      <c r="P62" t="s">
        <v>1709</v>
      </c>
      <c r="Q62" s="3">
        <v>0.55000000000000004</v>
      </c>
      <c r="R62" s="1" t="s">
        <v>1812</v>
      </c>
      <c r="S62" t="s">
        <v>1709</v>
      </c>
      <c r="T62" s="3">
        <v>0.55000000000000004</v>
      </c>
      <c r="U62" s="1" t="s">
        <v>1812</v>
      </c>
      <c r="V62" t="s">
        <v>1709</v>
      </c>
      <c r="W62" s="3">
        <v>0.55000000000000004</v>
      </c>
    </row>
    <row r="63" spans="1:23" x14ac:dyDescent="0.3">
      <c r="A63" s="6" t="e">
        <f t="shared" si="4"/>
        <v>#N/A</v>
      </c>
      <c r="B63" s="3" t="e">
        <f t="shared" si="5"/>
        <v>#N/A</v>
      </c>
      <c r="C63" s="3" t="e">
        <f t="shared" si="6"/>
        <v>#N/A</v>
      </c>
      <c r="D63" s="3" t="e">
        <f t="shared" si="2"/>
        <v>#N/A</v>
      </c>
      <c r="E63" s="3" t="e">
        <f t="shared" si="3"/>
        <v>#N/A</v>
      </c>
      <c r="F63" t="s">
        <v>2060</v>
      </c>
      <c r="G63">
        <v>0.85</v>
      </c>
      <c r="L63" s="1" t="s">
        <v>1812</v>
      </c>
      <c r="M63" t="s">
        <v>1710</v>
      </c>
      <c r="N63" s="3">
        <v>0.55000000000000004</v>
      </c>
      <c r="O63" s="1" t="s">
        <v>1812</v>
      </c>
      <c r="P63" t="s">
        <v>1710</v>
      </c>
      <c r="Q63" s="3">
        <v>0.55000000000000004</v>
      </c>
      <c r="R63" s="1" t="s">
        <v>1812</v>
      </c>
      <c r="S63" t="s">
        <v>1710</v>
      </c>
      <c r="T63" s="3">
        <v>0.55000000000000004</v>
      </c>
      <c r="U63" s="1" t="s">
        <v>1812</v>
      </c>
      <c r="V63" t="s">
        <v>1710</v>
      </c>
      <c r="W63" s="3">
        <v>0.55000000000000004</v>
      </c>
    </row>
    <row r="64" spans="1:23" x14ac:dyDescent="0.3">
      <c r="A64" s="6" t="e">
        <f t="shared" si="4"/>
        <v>#N/A</v>
      </c>
      <c r="B64" s="3" t="e">
        <f t="shared" si="5"/>
        <v>#N/A</v>
      </c>
      <c r="C64" s="3" t="e">
        <f t="shared" si="6"/>
        <v>#N/A</v>
      </c>
      <c r="D64" s="3" t="e">
        <f t="shared" si="2"/>
        <v>#N/A</v>
      </c>
      <c r="E64" s="3" t="e">
        <f t="shared" si="3"/>
        <v>#N/A</v>
      </c>
      <c r="F64" t="s">
        <v>2061</v>
      </c>
      <c r="G64">
        <v>1</v>
      </c>
      <c r="L64" s="1" t="s">
        <v>1812</v>
      </c>
      <c r="M64" t="s">
        <v>1711</v>
      </c>
      <c r="N64" s="3">
        <v>0.55000000000000004</v>
      </c>
      <c r="O64" s="1" t="s">
        <v>1812</v>
      </c>
      <c r="P64" t="s">
        <v>1711</v>
      </c>
      <c r="Q64" s="3">
        <v>0.55000000000000004</v>
      </c>
      <c r="R64" s="1" t="s">
        <v>1812</v>
      </c>
      <c r="S64" t="s">
        <v>1711</v>
      </c>
      <c r="T64" s="3">
        <v>0.55000000000000004</v>
      </c>
      <c r="U64" s="1" t="s">
        <v>1812</v>
      </c>
      <c r="V64" t="s">
        <v>1711</v>
      </c>
      <c r="W64" s="3">
        <v>0.55000000000000004</v>
      </c>
    </row>
    <row r="65" spans="1:23" x14ac:dyDescent="0.3">
      <c r="A65" s="6" t="e">
        <f t="shared" si="4"/>
        <v>#N/A</v>
      </c>
      <c r="B65" s="3" t="e">
        <f t="shared" si="5"/>
        <v>#N/A</v>
      </c>
      <c r="C65" s="3" t="e">
        <f t="shared" si="6"/>
        <v>#N/A</v>
      </c>
      <c r="D65" s="3" t="e">
        <f t="shared" si="2"/>
        <v>#N/A</v>
      </c>
      <c r="E65" s="3" t="e">
        <f t="shared" si="3"/>
        <v>#N/A</v>
      </c>
      <c r="F65" t="s">
        <v>2062</v>
      </c>
      <c r="G65">
        <v>1</v>
      </c>
      <c r="L65" s="1" t="s">
        <v>1812</v>
      </c>
      <c r="M65" t="s">
        <v>61</v>
      </c>
      <c r="N65" s="3">
        <v>0.4</v>
      </c>
      <c r="O65" s="1" t="s">
        <v>1812</v>
      </c>
      <c r="P65" t="s">
        <v>61</v>
      </c>
      <c r="Q65" s="3">
        <v>0.4</v>
      </c>
      <c r="R65" s="1" t="s">
        <v>1812</v>
      </c>
      <c r="S65" t="s">
        <v>61</v>
      </c>
      <c r="T65" s="3">
        <v>0.4</v>
      </c>
      <c r="U65" s="1" t="s">
        <v>1812</v>
      </c>
      <c r="V65" t="s">
        <v>61</v>
      </c>
      <c r="W65" s="3">
        <v>0.4</v>
      </c>
    </row>
    <row r="66" spans="1:23" x14ac:dyDescent="0.3">
      <c r="A66" s="6" t="e">
        <f t="shared" si="4"/>
        <v>#N/A</v>
      </c>
      <c r="B66" s="3" t="e">
        <f t="shared" si="5"/>
        <v>#N/A</v>
      </c>
      <c r="C66" s="3" t="e">
        <f t="shared" si="6"/>
        <v>#N/A</v>
      </c>
      <c r="D66" s="3" t="e">
        <f t="shared" si="2"/>
        <v>#N/A</v>
      </c>
      <c r="E66" s="3" t="e">
        <f t="shared" si="3"/>
        <v>#N/A</v>
      </c>
      <c r="F66" t="s">
        <v>2063</v>
      </c>
      <c r="G66">
        <v>0.05</v>
      </c>
      <c r="L66" s="1" t="s">
        <v>1812</v>
      </c>
      <c r="M66" t="s">
        <v>1712</v>
      </c>
      <c r="N66" s="3">
        <v>0.75</v>
      </c>
      <c r="O66" s="1" t="s">
        <v>1812</v>
      </c>
      <c r="P66" t="s">
        <v>1712</v>
      </c>
      <c r="Q66" s="3">
        <v>0.75</v>
      </c>
      <c r="R66" s="1" t="s">
        <v>1812</v>
      </c>
      <c r="S66" t="s">
        <v>1712</v>
      </c>
      <c r="T66" s="3">
        <v>0.75</v>
      </c>
      <c r="U66" s="1" t="s">
        <v>1812</v>
      </c>
      <c r="V66" t="s">
        <v>1712</v>
      </c>
      <c r="W66" s="3">
        <v>0.75</v>
      </c>
    </row>
    <row r="67" spans="1:23" x14ac:dyDescent="0.3">
      <c r="A67" s="6" t="e">
        <f t="shared" si="4"/>
        <v>#N/A</v>
      </c>
      <c r="B67" s="3" t="e">
        <f t="shared" si="5"/>
        <v>#N/A</v>
      </c>
      <c r="C67" s="3" t="e">
        <f t="shared" si="6"/>
        <v>#N/A</v>
      </c>
      <c r="D67" s="3" t="e">
        <f t="shared" si="2"/>
        <v>#N/A</v>
      </c>
      <c r="E67" s="3" t="e">
        <f t="shared" si="3"/>
        <v>#N/A</v>
      </c>
      <c r="F67" t="s">
        <v>2064</v>
      </c>
      <c r="G67">
        <v>0.1</v>
      </c>
      <c r="L67" s="1" t="s">
        <v>1812</v>
      </c>
      <c r="M67" t="s">
        <v>1713</v>
      </c>
      <c r="N67" s="3">
        <v>0.95</v>
      </c>
      <c r="O67" s="1" t="s">
        <v>1812</v>
      </c>
      <c r="P67" t="s">
        <v>1713</v>
      </c>
      <c r="Q67" s="3">
        <v>0.95</v>
      </c>
      <c r="R67" s="1" t="s">
        <v>1812</v>
      </c>
      <c r="S67" t="s">
        <v>1713</v>
      </c>
      <c r="T67" s="3">
        <v>0.95</v>
      </c>
      <c r="U67" s="1" t="s">
        <v>1812</v>
      </c>
      <c r="V67" t="s">
        <v>1713</v>
      </c>
      <c r="W67" s="3">
        <v>0.95</v>
      </c>
    </row>
    <row r="68" spans="1:23" x14ac:dyDescent="0.3">
      <c r="A68" s="6" t="e">
        <f t="shared" si="4"/>
        <v>#N/A</v>
      </c>
      <c r="B68" s="3" t="e">
        <f t="shared" ref="B68:B99" si="7">IF($B$1="Solo",IF(M67="","",M67),IF($B$1="Duet",IF(P67="","",P67),IF($B$1="Mixed",IF(S67="","",S67),IF(V67="","",V67))))</f>
        <v>#N/A</v>
      </c>
      <c r="C68" s="3" t="e">
        <f t="shared" ref="C68:C99" si="8">IF($B$1="Solo",IF(N67="","",N67),IF($B$1="Duet",IF(Q67="","",Q67),IF($B$1="Mixed",IF(T67="","",T67),IF(W67="","",W67))))</f>
        <v>#N/A</v>
      </c>
      <c r="D68" s="3" t="e">
        <f t="shared" si="2"/>
        <v>#N/A</v>
      </c>
      <c r="E68" s="3" t="e">
        <f t="shared" si="3"/>
        <v>#N/A</v>
      </c>
      <c r="F68" t="s">
        <v>2065</v>
      </c>
      <c r="G68">
        <v>0.1</v>
      </c>
      <c r="L68" s="1" t="s">
        <v>1812</v>
      </c>
      <c r="M68" t="s">
        <v>1714</v>
      </c>
      <c r="N68" s="3">
        <v>1.05</v>
      </c>
      <c r="O68" s="1" t="s">
        <v>1812</v>
      </c>
      <c r="P68" t="s">
        <v>1714</v>
      </c>
      <c r="Q68" s="3">
        <v>1.05</v>
      </c>
      <c r="R68" s="1" t="s">
        <v>1812</v>
      </c>
      <c r="S68" t="s">
        <v>1714</v>
      </c>
      <c r="T68" s="3">
        <v>1.05</v>
      </c>
      <c r="U68" s="1" t="s">
        <v>1812</v>
      </c>
      <c r="V68" t="s">
        <v>1714</v>
      </c>
      <c r="W68" s="3">
        <v>1.05</v>
      </c>
    </row>
    <row r="69" spans="1:23" x14ac:dyDescent="0.3">
      <c r="A69" s="6" t="e">
        <f t="shared" si="4"/>
        <v>#N/A</v>
      </c>
      <c r="B69" s="3" t="e">
        <f t="shared" si="7"/>
        <v>#N/A</v>
      </c>
      <c r="C69" s="3" t="e">
        <f t="shared" si="8"/>
        <v>#N/A</v>
      </c>
      <c r="D69" s="3" t="e">
        <f t="shared" ref="D69:D132" si="9">IF($D$1="Team",IF(AD68="","",AD68),"")</f>
        <v>#N/A</v>
      </c>
      <c r="E69" s="3" t="e">
        <f t="shared" ref="E69:E132" si="10">IF($D$1="Team",IF(AE68="","",AE68),"")</f>
        <v>#N/A</v>
      </c>
      <c r="F69" t="s">
        <v>2066</v>
      </c>
      <c r="G69">
        <v>0.15</v>
      </c>
      <c r="L69" s="1" t="s">
        <v>1812</v>
      </c>
      <c r="M69" t="s">
        <v>1715</v>
      </c>
      <c r="N69" s="3">
        <v>1.1499999999999999</v>
      </c>
      <c r="O69" s="1" t="s">
        <v>1812</v>
      </c>
      <c r="P69" t="s">
        <v>1715</v>
      </c>
      <c r="Q69" s="3">
        <v>1.1499999999999999</v>
      </c>
      <c r="R69" s="1" t="s">
        <v>1812</v>
      </c>
      <c r="S69" t="s">
        <v>1715</v>
      </c>
      <c r="T69" s="3">
        <v>1.1499999999999999</v>
      </c>
      <c r="U69" s="1" t="s">
        <v>1812</v>
      </c>
      <c r="V69" t="s">
        <v>1715</v>
      </c>
      <c r="W69" s="3">
        <v>1.1499999999999999</v>
      </c>
    </row>
    <row r="70" spans="1:23" x14ac:dyDescent="0.3">
      <c r="A70" s="6" t="e">
        <f t="shared" si="4"/>
        <v>#N/A</v>
      </c>
      <c r="B70" s="3" t="e">
        <f t="shared" si="7"/>
        <v>#N/A</v>
      </c>
      <c r="C70" s="3" t="e">
        <f t="shared" si="8"/>
        <v>#N/A</v>
      </c>
      <c r="D70" s="3" t="e">
        <f t="shared" si="9"/>
        <v>#N/A</v>
      </c>
      <c r="E70" s="3" t="e">
        <f t="shared" si="10"/>
        <v>#N/A</v>
      </c>
      <c r="F70" t="s">
        <v>2067</v>
      </c>
      <c r="G70">
        <v>0.15</v>
      </c>
      <c r="L70" s="1" t="s">
        <v>1812</v>
      </c>
      <c r="M70" t="s">
        <v>62</v>
      </c>
      <c r="N70" s="3">
        <v>0.6</v>
      </c>
      <c r="O70" s="1" t="s">
        <v>1812</v>
      </c>
      <c r="P70" t="s">
        <v>62</v>
      </c>
      <c r="Q70" s="3">
        <v>0.6</v>
      </c>
      <c r="R70" s="1" t="s">
        <v>1812</v>
      </c>
      <c r="S70" t="s">
        <v>62</v>
      </c>
      <c r="T70" s="3">
        <v>0.6</v>
      </c>
      <c r="U70" s="1" t="s">
        <v>1812</v>
      </c>
      <c r="V70" t="s">
        <v>62</v>
      </c>
      <c r="W70" s="3">
        <v>0.6</v>
      </c>
    </row>
    <row r="71" spans="1:23" x14ac:dyDescent="0.3">
      <c r="A71" s="6" t="e">
        <f t="shared" si="4"/>
        <v>#N/A</v>
      </c>
      <c r="B71" s="3" t="e">
        <f t="shared" si="7"/>
        <v>#N/A</v>
      </c>
      <c r="C71" s="3" t="e">
        <f t="shared" si="8"/>
        <v>#N/A</v>
      </c>
      <c r="D71" s="3" t="e">
        <f t="shared" si="9"/>
        <v>#N/A</v>
      </c>
      <c r="E71" s="3" t="e">
        <f t="shared" si="10"/>
        <v>#N/A</v>
      </c>
      <c r="F71" t="s">
        <v>2068</v>
      </c>
      <c r="G71">
        <v>0.15</v>
      </c>
      <c r="L71" s="1" t="s">
        <v>1812</v>
      </c>
      <c r="M71" t="s">
        <v>1716</v>
      </c>
      <c r="N71" s="3">
        <v>1.1499999999999999</v>
      </c>
      <c r="O71" s="1" t="s">
        <v>1812</v>
      </c>
      <c r="P71" t="s">
        <v>1716</v>
      </c>
      <c r="Q71" s="3">
        <v>1.1499999999999999</v>
      </c>
      <c r="R71" s="1" t="s">
        <v>1812</v>
      </c>
      <c r="S71" t="s">
        <v>1716</v>
      </c>
      <c r="T71" s="3">
        <v>1.1499999999999999</v>
      </c>
      <c r="U71" s="1" t="s">
        <v>1812</v>
      </c>
      <c r="V71" t="s">
        <v>1716</v>
      </c>
      <c r="W71" s="3">
        <v>1.1499999999999999</v>
      </c>
    </row>
    <row r="72" spans="1:23" x14ac:dyDescent="0.3">
      <c r="A72" s="6" t="e">
        <f t="shared" si="4"/>
        <v>#N/A</v>
      </c>
      <c r="B72" s="3" t="e">
        <f t="shared" si="7"/>
        <v>#N/A</v>
      </c>
      <c r="C72" s="3" t="e">
        <f t="shared" si="8"/>
        <v>#N/A</v>
      </c>
      <c r="D72" s="3" t="e">
        <f t="shared" si="9"/>
        <v>#N/A</v>
      </c>
      <c r="E72" s="3" t="e">
        <f t="shared" si="10"/>
        <v>#N/A</v>
      </c>
      <c r="F72" t="s">
        <v>2069</v>
      </c>
      <c r="G72">
        <v>0.2</v>
      </c>
      <c r="L72" s="1" t="s">
        <v>1812</v>
      </c>
      <c r="M72" t="s">
        <v>1717</v>
      </c>
      <c r="N72" s="3">
        <v>1.45</v>
      </c>
      <c r="O72" s="1" t="s">
        <v>1812</v>
      </c>
      <c r="P72" t="s">
        <v>1717</v>
      </c>
      <c r="Q72" s="3">
        <v>1.45</v>
      </c>
      <c r="R72" s="1" t="s">
        <v>1812</v>
      </c>
      <c r="S72" t="s">
        <v>1717</v>
      </c>
      <c r="T72" s="3">
        <v>1.45</v>
      </c>
      <c r="U72" s="1" t="s">
        <v>1812</v>
      </c>
      <c r="V72" t="s">
        <v>1717</v>
      </c>
      <c r="W72" s="3">
        <v>1.45</v>
      </c>
    </row>
    <row r="73" spans="1:23" x14ac:dyDescent="0.3">
      <c r="A73" s="6" t="e">
        <f t="shared" si="4"/>
        <v>#N/A</v>
      </c>
      <c r="B73" s="3" t="e">
        <f t="shared" si="7"/>
        <v>#N/A</v>
      </c>
      <c r="C73" s="3" t="e">
        <f t="shared" si="8"/>
        <v>#N/A</v>
      </c>
      <c r="D73" s="3" t="e">
        <f t="shared" si="9"/>
        <v>#N/A</v>
      </c>
      <c r="E73" s="3" t="e">
        <f t="shared" si="10"/>
        <v>#N/A</v>
      </c>
      <c r="F73" t="s">
        <v>2070</v>
      </c>
      <c r="G73">
        <v>0.25</v>
      </c>
      <c r="L73" s="1" t="s">
        <v>1812</v>
      </c>
      <c r="M73" t="s">
        <v>1718</v>
      </c>
      <c r="N73" s="3">
        <v>1.75</v>
      </c>
      <c r="O73" s="1" t="s">
        <v>1812</v>
      </c>
      <c r="P73" t="s">
        <v>1718</v>
      </c>
      <c r="Q73" s="3">
        <v>1.75</v>
      </c>
      <c r="R73" s="1" t="s">
        <v>1812</v>
      </c>
      <c r="S73" t="s">
        <v>1718</v>
      </c>
      <c r="T73" s="3">
        <v>1.75</v>
      </c>
      <c r="U73" s="1" t="s">
        <v>1812</v>
      </c>
      <c r="V73" t="s">
        <v>1718</v>
      </c>
      <c r="W73" s="3">
        <v>1.75</v>
      </c>
    </row>
    <row r="74" spans="1:23" x14ac:dyDescent="0.3">
      <c r="A74" s="6" t="e">
        <f t="shared" si="4"/>
        <v>#N/A</v>
      </c>
      <c r="B74" s="3" t="e">
        <f t="shared" si="7"/>
        <v>#N/A</v>
      </c>
      <c r="C74" s="3" t="e">
        <f t="shared" si="8"/>
        <v>#N/A</v>
      </c>
      <c r="D74" s="3" t="e">
        <f t="shared" si="9"/>
        <v>#N/A</v>
      </c>
      <c r="E74" s="3" t="e">
        <f t="shared" si="10"/>
        <v>#N/A</v>
      </c>
      <c r="F74" t="s">
        <v>2071</v>
      </c>
      <c r="G74">
        <v>0.5</v>
      </c>
      <c r="L74" s="1" t="s">
        <v>1812</v>
      </c>
      <c r="M74" t="s">
        <v>63</v>
      </c>
      <c r="N74" s="3">
        <v>0.8</v>
      </c>
      <c r="O74" s="1" t="s">
        <v>1812</v>
      </c>
      <c r="P74" t="s">
        <v>63</v>
      </c>
      <c r="Q74" s="3">
        <v>0.8</v>
      </c>
      <c r="R74" s="1" t="s">
        <v>1812</v>
      </c>
      <c r="S74" t="s">
        <v>63</v>
      </c>
      <c r="T74" s="3">
        <v>0.8</v>
      </c>
      <c r="U74" s="1" t="s">
        <v>1812</v>
      </c>
      <c r="V74" t="s">
        <v>63</v>
      </c>
      <c r="W74" s="3">
        <v>0.8</v>
      </c>
    </row>
    <row r="75" spans="1:23" x14ac:dyDescent="0.3">
      <c r="A75" s="6" t="e">
        <f t="shared" si="4"/>
        <v>#N/A</v>
      </c>
      <c r="B75" s="3" t="e">
        <f t="shared" si="7"/>
        <v>#N/A</v>
      </c>
      <c r="C75" s="3" t="e">
        <f t="shared" si="8"/>
        <v>#N/A</v>
      </c>
      <c r="D75" s="3" t="e">
        <f t="shared" si="9"/>
        <v>#N/A</v>
      </c>
      <c r="E75" s="3" t="e">
        <f t="shared" si="10"/>
        <v>#N/A</v>
      </c>
      <c r="F75" t="s">
        <v>2072</v>
      </c>
      <c r="G75">
        <v>0.625</v>
      </c>
      <c r="L75" s="1" t="s">
        <v>1812</v>
      </c>
      <c r="M75" t="s">
        <v>1719</v>
      </c>
      <c r="N75" s="3">
        <v>1.55</v>
      </c>
      <c r="O75" s="1" t="s">
        <v>1812</v>
      </c>
      <c r="P75" t="s">
        <v>1719</v>
      </c>
      <c r="Q75" s="3">
        <v>1.55</v>
      </c>
      <c r="R75" s="1" t="s">
        <v>1812</v>
      </c>
      <c r="S75" t="s">
        <v>1719</v>
      </c>
      <c r="T75" s="3">
        <v>1.55</v>
      </c>
      <c r="U75" s="1" t="s">
        <v>1812</v>
      </c>
      <c r="V75" t="s">
        <v>1719</v>
      </c>
      <c r="W75" s="3">
        <v>1.55</v>
      </c>
    </row>
    <row r="76" spans="1:23" x14ac:dyDescent="0.3">
      <c r="A76" s="6" t="e">
        <f t="shared" si="4"/>
        <v>#N/A</v>
      </c>
      <c r="B76" s="3" t="e">
        <f t="shared" si="7"/>
        <v>#N/A</v>
      </c>
      <c r="C76" s="3" t="e">
        <f t="shared" si="8"/>
        <v>#N/A</v>
      </c>
      <c r="D76" s="3" t="e">
        <f t="shared" si="9"/>
        <v>#N/A</v>
      </c>
      <c r="E76" s="3" t="e">
        <f t="shared" si="10"/>
        <v>#N/A</v>
      </c>
      <c r="F76" t="s">
        <v>2073</v>
      </c>
      <c r="G76">
        <v>0.625</v>
      </c>
      <c r="L76" s="1" t="s">
        <v>1812</v>
      </c>
      <c r="M76" t="s">
        <v>1720</v>
      </c>
      <c r="N76" s="3">
        <v>1.95</v>
      </c>
      <c r="O76" s="1" t="s">
        <v>1812</v>
      </c>
      <c r="P76" t="s">
        <v>1720</v>
      </c>
      <c r="Q76" s="3">
        <v>1.95</v>
      </c>
      <c r="R76" s="1" t="s">
        <v>1812</v>
      </c>
      <c r="S76" t="s">
        <v>1720</v>
      </c>
      <c r="T76" s="3">
        <v>1.95</v>
      </c>
      <c r="U76" s="1" t="s">
        <v>1812</v>
      </c>
      <c r="V76" t="s">
        <v>1720</v>
      </c>
      <c r="W76" s="3">
        <v>1.95</v>
      </c>
    </row>
    <row r="77" spans="1:23" x14ac:dyDescent="0.3">
      <c r="A77" s="6" t="e">
        <f t="shared" si="4"/>
        <v>#N/A</v>
      </c>
      <c r="B77" s="3" t="e">
        <f t="shared" si="7"/>
        <v>#N/A</v>
      </c>
      <c r="C77" s="3" t="e">
        <f t="shared" si="8"/>
        <v>#N/A</v>
      </c>
      <c r="D77" s="3" t="e">
        <f t="shared" si="9"/>
        <v>#N/A</v>
      </c>
      <c r="E77" s="3" t="e">
        <f t="shared" si="10"/>
        <v>#N/A</v>
      </c>
      <c r="F77" t="s">
        <v>2074</v>
      </c>
      <c r="G77">
        <v>0.75</v>
      </c>
      <c r="L77" s="1" t="s">
        <v>1812</v>
      </c>
      <c r="M77" t="s">
        <v>1721</v>
      </c>
      <c r="N77" s="3">
        <v>2.15</v>
      </c>
      <c r="O77" s="1" t="s">
        <v>1812</v>
      </c>
      <c r="P77" t="s">
        <v>1721</v>
      </c>
      <c r="Q77" s="3">
        <v>2.15</v>
      </c>
      <c r="R77" s="1" t="s">
        <v>1812</v>
      </c>
      <c r="S77" t="s">
        <v>1721</v>
      </c>
      <c r="T77" s="3">
        <v>2.15</v>
      </c>
      <c r="U77" s="1" t="s">
        <v>1812</v>
      </c>
      <c r="V77" t="s">
        <v>1721</v>
      </c>
      <c r="W77" s="3">
        <v>2.15</v>
      </c>
    </row>
    <row r="78" spans="1:23" x14ac:dyDescent="0.3">
      <c r="A78" s="6" t="e">
        <f t="shared" si="4"/>
        <v>#N/A</v>
      </c>
      <c r="B78" s="3" t="e">
        <f t="shared" si="7"/>
        <v>#N/A</v>
      </c>
      <c r="C78" s="3" t="e">
        <f t="shared" si="8"/>
        <v>#N/A</v>
      </c>
      <c r="D78" s="3" t="e">
        <f t="shared" si="9"/>
        <v>#N/A</v>
      </c>
      <c r="E78" s="3" t="e">
        <f t="shared" si="10"/>
        <v>#N/A</v>
      </c>
      <c r="L78" s="1" t="s">
        <v>1812</v>
      </c>
      <c r="M78" t="s">
        <v>1722</v>
      </c>
      <c r="N78" s="3">
        <v>2.35</v>
      </c>
      <c r="O78" s="1" t="s">
        <v>1812</v>
      </c>
      <c r="P78" t="s">
        <v>1722</v>
      </c>
      <c r="Q78" s="3">
        <v>2.35</v>
      </c>
      <c r="R78" s="1" t="s">
        <v>1812</v>
      </c>
      <c r="S78" t="s">
        <v>1722</v>
      </c>
      <c r="T78" s="3">
        <v>2.35</v>
      </c>
      <c r="U78" s="1" t="s">
        <v>1812</v>
      </c>
      <c r="V78" t="s">
        <v>1722</v>
      </c>
      <c r="W78" s="3">
        <v>2.35</v>
      </c>
    </row>
    <row r="79" spans="1:23" x14ac:dyDescent="0.3">
      <c r="A79" s="6" t="e">
        <f t="shared" si="4"/>
        <v>#N/A</v>
      </c>
      <c r="B79" s="3" t="e">
        <f t="shared" si="7"/>
        <v>#N/A</v>
      </c>
      <c r="C79" s="3" t="e">
        <f t="shared" si="8"/>
        <v>#N/A</v>
      </c>
      <c r="D79" s="3" t="e">
        <f t="shared" si="9"/>
        <v>#N/A</v>
      </c>
      <c r="E79" s="3" t="e">
        <f t="shared" si="10"/>
        <v>#N/A</v>
      </c>
      <c r="L79" s="1" t="s">
        <v>1812</v>
      </c>
      <c r="M79" t="s">
        <v>1723</v>
      </c>
      <c r="N79" s="3">
        <v>1.95</v>
      </c>
      <c r="O79" s="1" t="s">
        <v>1812</v>
      </c>
      <c r="P79" t="s">
        <v>1723</v>
      </c>
      <c r="Q79" s="3">
        <v>1.95</v>
      </c>
      <c r="R79" s="1" t="s">
        <v>1812</v>
      </c>
      <c r="S79" t="s">
        <v>1723</v>
      </c>
      <c r="T79" s="3">
        <v>1.95</v>
      </c>
      <c r="U79" s="1" t="s">
        <v>1812</v>
      </c>
      <c r="V79" t="s">
        <v>1723</v>
      </c>
      <c r="W79" s="3">
        <v>1.95</v>
      </c>
    </row>
    <row r="80" spans="1:23" x14ac:dyDescent="0.3">
      <c r="A80" s="6" t="e">
        <f t="shared" si="4"/>
        <v>#N/A</v>
      </c>
      <c r="B80" s="3" t="e">
        <f t="shared" si="7"/>
        <v>#N/A</v>
      </c>
      <c r="C80" s="3" t="e">
        <f t="shared" si="8"/>
        <v>#N/A</v>
      </c>
      <c r="D80" s="3" t="e">
        <f t="shared" si="9"/>
        <v>#N/A</v>
      </c>
      <c r="E80" s="3" t="e">
        <f t="shared" si="10"/>
        <v>#N/A</v>
      </c>
      <c r="L80" s="1" t="s">
        <v>1812</v>
      </c>
      <c r="M80" t="s">
        <v>1724</v>
      </c>
      <c r="N80" s="3">
        <v>2.4500000000000002</v>
      </c>
      <c r="O80" s="1" t="s">
        <v>1812</v>
      </c>
      <c r="P80" t="s">
        <v>1724</v>
      </c>
      <c r="Q80" s="3">
        <v>2.4500000000000002</v>
      </c>
      <c r="R80" s="1" t="s">
        <v>1812</v>
      </c>
      <c r="S80" t="s">
        <v>1724</v>
      </c>
      <c r="T80" s="3">
        <v>2.4500000000000002</v>
      </c>
      <c r="U80" s="1" t="s">
        <v>1812</v>
      </c>
      <c r="V80" t="s">
        <v>1724</v>
      </c>
      <c r="W80" s="3">
        <v>2.4500000000000002</v>
      </c>
    </row>
    <row r="81" spans="1:23" x14ac:dyDescent="0.3">
      <c r="A81" s="6" t="e">
        <f t="shared" si="4"/>
        <v>#N/A</v>
      </c>
      <c r="B81" s="3" t="e">
        <f t="shared" si="7"/>
        <v>#N/A</v>
      </c>
      <c r="C81" s="3" t="e">
        <f t="shared" si="8"/>
        <v>#N/A</v>
      </c>
      <c r="D81" s="3" t="e">
        <f t="shared" si="9"/>
        <v>#N/A</v>
      </c>
      <c r="E81" s="3" t="e">
        <f t="shared" si="10"/>
        <v>#N/A</v>
      </c>
      <c r="L81" s="1" t="s">
        <v>1812</v>
      </c>
      <c r="M81" t="s">
        <v>1725</v>
      </c>
      <c r="N81" s="3">
        <v>2.95</v>
      </c>
      <c r="O81" s="1" t="s">
        <v>1812</v>
      </c>
      <c r="P81" t="s">
        <v>1725</v>
      </c>
      <c r="Q81" s="3">
        <v>2.95</v>
      </c>
      <c r="R81" s="1" t="s">
        <v>1812</v>
      </c>
      <c r="S81" t="s">
        <v>1725</v>
      </c>
      <c r="T81" s="3">
        <v>2.95</v>
      </c>
      <c r="U81" s="1" t="s">
        <v>1812</v>
      </c>
      <c r="V81" t="s">
        <v>1725</v>
      </c>
      <c r="W81" s="3">
        <v>2.95</v>
      </c>
    </row>
    <row r="82" spans="1:23" x14ac:dyDescent="0.3">
      <c r="A82" s="6" t="e">
        <f t="shared" si="4"/>
        <v>#N/A</v>
      </c>
      <c r="B82" s="3" t="e">
        <f t="shared" si="7"/>
        <v>#N/A</v>
      </c>
      <c r="C82" s="3" t="e">
        <f t="shared" si="8"/>
        <v>#N/A</v>
      </c>
      <c r="D82" s="3" t="e">
        <f t="shared" si="9"/>
        <v>#N/A</v>
      </c>
      <c r="E82" s="3" t="e">
        <f t="shared" si="10"/>
        <v>#N/A</v>
      </c>
      <c r="L82" s="1" t="s">
        <v>1812</v>
      </c>
      <c r="M82" t="s">
        <v>1726</v>
      </c>
      <c r="N82" s="3">
        <v>2.35</v>
      </c>
      <c r="O82" s="1" t="s">
        <v>1812</v>
      </c>
      <c r="P82" t="s">
        <v>1726</v>
      </c>
      <c r="Q82" s="3">
        <v>2.35</v>
      </c>
      <c r="R82" s="1" t="s">
        <v>1812</v>
      </c>
      <c r="S82" t="s">
        <v>1726</v>
      </c>
      <c r="T82" s="3">
        <v>2.35</v>
      </c>
      <c r="U82" s="1" t="s">
        <v>1812</v>
      </c>
      <c r="V82" t="s">
        <v>1726</v>
      </c>
      <c r="W82" s="3">
        <v>2.35</v>
      </c>
    </row>
    <row r="83" spans="1:23" x14ac:dyDescent="0.3">
      <c r="A83" s="6" t="e">
        <f t="shared" si="4"/>
        <v>#N/A</v>
      </c>
      <c r="B83" s="3" t="e">
        <f t="shared" si="7"/>
        <v>#N/A</v>
      </c>
      <c r="C83" s="3" t="e">
        <f t="shared" si="8"/>
        <v>#N/A</v>
      </c>
      <c r="D83" s="3" t="e">
        <f t="shared" si="9"/>
        <v>#N/A</v>
      </c>
      <c r="E83" s="3" t="e">
        <f t="shared" si="10"/>
        <v>#N/A</v>
      </c>
      <c r="L83" s="1" t="s">
        <v>1812</v>
      </c>
      <c r="M83" t="s">
        <v>1727</v>
      </c>
      <c r="N83" s="3">
        <v>2.95</v>
      </c>
      <c r="O83" s="1" t="s">
        <v>1812</v>
      </c>
      <c r="P83" t="s">
        <v>1727</v>
      </c>
      <c r="Q83" s="3">
        <v>2.95</v>
      </c>
      <c r="R83" s="1" t="s">
        <v>1812</v>
      </c>
      <c r="S83" t="s">
        <v>1727</v>
      </c>
      <c r="T83" s="3">
        <v>2.95</v>
      </c>
      <c r="U83" s="1" t="s">
        <v>1812</v>
      </c>
      <c r="V83" t="s">
        <v>1727</v>
      </c>
      <c r="W83" s="3">
        <v>2.95</v>
      </c>
    </row>
    <row r="84" spans="1:23" x14ac:dyDescent="0.3">
      <c r="A84" s="6" t="e">
        <f t="shared" si="4"/>
        <v>#N/A</v>
      </c>
      <c r="B84" s="3" t="e">
        <f t="shared" si="7"/>
        <v>#N/A</v>
      </c>
      <c r="C84" s="3" t="e">
        <f t="shared" si="8"/>
        <v>#N/A</v>
      </c>
      <c r="D84" s="3" t="e">
        <f t="shared" si="9"/>
        <v>#N/A</v>
      </c>
      <c r="E84" s="3" t="e">
        <f t="shared" si="10"/>
        <v>#N/A</v>
      </c>
      <c r="L84" s="1" t="s">
        <v>1812</v>
      </c>
      <c r="M84" t="s">
        <v>1728</v>
      </c>
      <c r="N84" s="3">
        <v>3.35</v>
      </c>
      <c r="O84" s="1" t="s">
        <v>1812</v>
      </c>
      <c r="P84" t="s">
        <v>1728</v>
      </c>
      <c r="Q84" s="3">
        <v>3.35</v>
      </c>
      <c r="R84" s="1" t="s">
        <v>1812</v>
      </c>
      <c r="S84" t="s">
        <v>1728</v>
      </c>
      <c r="T84" s="3">
        <v>3.35</v>
      </c>
      <c r="U84" s="1" t="s">
        <v>1812</v>
      </c>
      <c r="V84" t="s">
        <v>1728</v>
      </c>
      <c r="W84" s="3">
        <v>3.35</v>
      </c>
    </row>
    <row r="85" spans="1:23" x14ac:dyDescent="0.3">
      <c r="A85" s="6" t="e">
        <f t="shared" si="4"/>
        <v>#N/A</v>
      </c>
      <c r="B85" s="3" t="e">
        <f t="shared" si="7"/>
        <v>#N/A</v>
      </c>
      <c r="C85" s="3" t="e">
        <f t="shared" si="8"/>
        <v>#N/A</v>
      </c>
      <c r="D85" s="3" t="e">
        <f t="shared" si="9"/>
        <v>#N/A</v>
      </c>
      <c r="E85" s="3" t="e">
        <f t="shared" si="10"/>
        <v>#N/A</v>
      </c>
      <c r="L85" s="1" t="s">
        <v>1812</v>
      </c>
      <c r="M85" t="s">
        <v>1729</v>
      </c>
      <c r="N85" s="3">
        <v>3.55</v>
      </c>
      <c r="O85" s="1" t="s">
        <v>1812</v>
      </c>
      <c r="P85" t="s">
        <v>1729</v>
      </c>
      <c r="Q85" s="3">
        <v>3.55</v>
      </c>
      <c r="R85" s="1" t="s">
        <v>1812</v>
      </c>
      <c r="S85" t="s">
        <v>1729</v>
      </c>
      <c r="T85" s="3">
        <v>3.55</v>
      </c>
      <c r="U85" s="1" t="s">
        <v>1812</v>
      </c>
      <c r="V85" t="s">
        <v>1729</v>
      </c>
      <c r="W85" s="3">
        <v>3.55</v>
      </c>
    </row>
    <row r="86" spans="1:23" x14ac:dyDescent="0.3">
      <c r="A86" s="6" t="e">
        <f t="shared" si="4"/>
        <v>#N/A</v>
      </c>
      <c r="B86" s="3" t="e">
        <f t="shared" si="7"/>
        <v>#N/A</v>
      </c>
      <c r="C86" s="3" t="e">
        <f t="shared" si="8"/>
        <v>#N/A</v>
      </c>
      <c r="D86" s="3" t="e">
        <f t="shared" si="9"/>
        <v>#N/A</v>
      </c>
      <c r="E86" s="3" t="e">
        <f t="shared" si="10"/>
        <v>#N/A</v>
      </c>
      <c r="L86" s="1" t="s">
        <v>1812</v>
      </c>
      <c r="M86" t="s">
        <v>1730</v>
      </c>
      <c r="N86" s="3">
        <v>3.45</v>
      </c>
      <c r="O86" s="1" t="s">
        <v>1812</v>
      </c>
      <c r="P86" t="s">
        <v>1730</v>
      </c>
      <c r="Q86" s="3">
        <v>3.45</v>
      </c>
      <c r="R86" s="1" t="s">
        <v>1812</v>
      </c>
      <c r="S86" t="s">
        <v>1730</v>
      </c>
      <c r="T86" s="3">
        <v>3.45</v>
      </c>
      <c r="U86" s="1" t="s">
        <v>1812</v>
      </c>
      <c r="V86" t="s">
        <v>1730</v>
      </c>
      <c r="W86" s="3">
        <v>3.45</v>
      </c>
    </row>
    <row r="87" spans="1:23" x14ac:dyDescent="0.3">
      <c r="A87" s="6" t="e">
        <f t="shared" si="4"/>
        <v>#N/A</v>
      </c>
      <c r="B87" s="3" t="e">
        <f t="shared" si="7"/>
        <v>#N/A</v>
      </c>
      <c r="C87" s="3" t="e">
        <f t="shared" si="8"/>
        <v>#N/A</v>
      </c>
      <c r="D87" s="3" t="e">
        <f t="shared" si="9"/>
        <v>#N/A</v>
      </c>
      <c r="E87" s="3" t="e">
        <f t="shared" si="10"/>
        <v>#N/A</v>
      </c>
      <c r="L87" s="1" t="s">
        <v>1812</v>
      </c>
      <c r="M87" t="s">
        <v>1731</v>
      </c>
      <c r="N87" s="3">
        <v>4.1500000000000004</v>
      </c>
      <c r="O87" s="1" t="s">
        <v>1812</v>
      </c>
      <c r="P87" t="s">
        <v>1731</v>
      </c>
      <c r="Q87" s="3">
        <v>4.1500000000000004</v>
      </c>
      <c r="R87" s="1" t="s">
        <v>1812</v>
      </c>
      <c r="S87" t="s">
        <v>1731</v>
      </c>
      <c r="T87" s="3">
        <v>4.1500000000000004</v>
      </c>
      <c r="U87" s="1" t="s">
        <v>1812</v>
      </c>
      <c r="V87" t="s">
        <v>1731</v>
      </c>
      <c r="W87" s="3">
        <v>4.1500000000000004</v>
      </c>
    </row>
    <row r="88" spans="1:23" x14ac:dyDescent="0.3">
      <c r="A88" s="6" t="e">
        <f t="shared" si="4"/>
        <v>#N/A</v>
      </c>
      <c r="B88" s="3" t="e">
        <f t="shared" si="7"/>
        <v>#N/A</v>
      </c>
      <c r="C88" s="3" t="e">
        <f t="shared" si="8"/>
        <v>#N/A</v>
      </c>
      <c r="D88" s="3" t="e">
        <f t="shared" si="9"/>
        <v>#N/A</v>
      </c>
      <c r="E88" s="3" t="e">
        <f t="shared" si="10"/>
        <v>#N/A</v>
      </c>
      <c r="L88" s="1" t="s">
        <v>1812</v>
      </c>
      <c r="M88" t="s">
        <v>1732</v>
      </c>
      <c r="N88" s="3">
        <v>3.95</v>
      </c>
      <c r="O88" s="1" t="s">
        <v>1812</v>
      </c>
      <c r="P88" t="s">
        <v>1732</v>
      </c>
      <c r="Q88" s="3">
        <v>3.95</v>
      </c>
      <c r="R88" s="1" t="s">
        <v>1812</v>
      </c>
      <c r="S88" t="s">
        <v>1732</v>
      </c>
      <c r="T88" s="3">
        <v>3.95</v>
      </c>
      <c r="U88" s="1" t="s">
        <v>1812</v>
      </c>
      <c r="V88" t="s">
        <v>1732</v>
      </c>
      <c r="W88" s="3">
        <v>3.95</v>
      </c>
    </row>
    <row r="89" spans="1:23" x14ac:dyDescent="0.3">
      <c r="A89" s="6" t="e">
        <f t="shared" si="4"/>
        <v>#N/A</v>
      </c>
      <c r="B89" s="3" t="e">
        <f t="shared" si="7"/>
        <v>#N/A</v>
      </c>
      <c r="C89" s="3" t="e">
        <f t="shared" si="8"/>
        <v>#N/A</v>
      </c>
      <c r="D89" s="3" t="e">
        <f t="shared" si="9"/>
        <v>#N/A</v>
      </c>
      <c r="E89" s="3" t="e">
        <f t="shared" si="10"/>
        <v>#N/A</v>
      </c>
      <c r="L89" s="1" t="s">
        <v>1812</v>
      </c>
      <c r="M89" t="s">
        <v>1733</v>
      </c>
      <c r="N89" s="3">
        <v>4.75</v>
      </c>
      <c r="O89" s="1" t="s">
        <v>1812</v>
      </c>
      <c r="P89" t="s">
        <v>1733</v>
      </c>
      <c r="Q89" s="3">
        <v>4.75</v>
      </c>
      <c r="R89" s="1" t="s">
        <v>1812</v>
      </c>
      <c r="S89" t="s">
        <v>1733</v>
      </c>
      <c r="T89" s="3">
        <v>4.75</v>
      </c>
      <c r="U89" s="1" t="s">
        <v>1812</v>
      </c>
      <c r="V89" t="s">
        <v>1733</v>
      </c>
      <c r="W89" s="3">
        <v>4.75</v>
      </c>
    </row>
    <row r="90" spans="1:23" x14ac:dyDescent="0.3">
      <c r="A90" s="6" t="e">
        <f t="shared" si="4"/>
        <v>#N/A</v>
      </c>
      <c r="B90" s="3" t="e">
        <f t="shared" si="7"/>
        <v>#N/A</v>
      </c>
      <c r="C90" s="3" t="e">
        <f t="shared" si="8"/>
        <v>#N/A</v>
      </c>
      <c r="D90" s="3" t="e">
        <f t="shared" si="9"/>
        <v>#N/A</v>
      </c>
      <c r="E90" s="3" t="e">
        <f t="shared" si="10"/>
        <v>#N/A</v>
      </c>
      <c r="L90" s="1" t="s">
        <v>1812</v>
      </c>
      <c r="M90" t="s">
        <v>1734</v>
      </c>
      <c r="N90" s="3">
        <v>4.45</v>
      </c>
      <c r="O90" s="1" t="s">
        <v>1812</v>
      </c>
      <c r="P90" t="s">
        <v>1734</v>
      </c>
      <c r="Q90" s="3">
        <v>4.45</v>
      </c>
      <c r="R90" s="1" t="s">
        <v>1812</v>
      </c>
      <c r="S90" t="s">
        <v>1734</v>
      </c>
      <c r="T90" s="3">
        <v>4.45</v>
      </c>
      <c r="U90" s="1" t="s">
        <v>1812</v>
      </c>
      <c r="V90" t="s">
        <v>1734</v>
      </c>
      <c r="W90" s="3">
        <v>4.45</v>
      </c>
    </row>
    <row r="91" spans="1:23" x14ac:dyDescent="0.3">
      <c r="A91" s="6" t="e">
        <f t="shared" si="4"/>
        <v>#N/A</v>
      </c>
      <c r="B91" s="3" t="e">
        <f t="shared" si="7"/>
        <v>#N/A</v>
      </c>
      <c r="C91" s="3" t="e">
        <f t="shared" si="8"/>
        <v>#N/A</v>
      </c>
      <c r="D91" s="3" t="e">
        <f t="shared" si="9"/>
        <v>#N/A</v>
      </c>
      <c r="E91" s="3" t="e">
        <f t="shared" si="10"/>
        <v>#N/A</v>
      </c>
      <c r="L91" s="1" t="s">
        <v>1812</v>
      </c>
      <c r="M91" t="s">
        <v>1735</v>
      </c>
      <c r="N91" s="3">
        <v>5.35</v>
      </c>
      <c r="O91" s="1" t="s">
        <v>1812</v>
      </c>
      <c r="P91" t="s">
        <v>1735</v>
      </c>
      <c r="Q91" s="3">
        <v>5.35</v>
      </c>
      <c r="R91" s="1" t="s">
        <v>1812</v>
      </c>
      <c r="S91" t="s">
        <v>1735</v>
      </c>
      <c r="T91" s="3">
        <v>5.35</v>
      </c>
      <c r="U91" s="1" t="s">
        <v>1812</v>
      </c>
      <c r="V91" t="s">
        <v>1735</v>
      </c>
      <c r="W91" s="3">
        <v>5.35</v>
      </c>
    </row>
    <row r="92" spans="1:23" x14ac:dyDescent="0.3">
      <c r="A92" s="6" t="e">
        <f t="shared" si="4"/>
        <v>#N/A</v>
      </c>
      <c r="B92" s="3" t="e">
        <f t="shared" si="7"/>
        <v>#N/A</v>
      </c>
      <c r="C92" s="3" t="e">
        <f t="shared" si="8"/>
        <v>#N/A</v>
      </c>
      <c r="D92" s="3" t="e">
        <f t="shared" si="9"/>
        <v>#N/A</v>
      </c>
      <c r="E92" s="3" t="e">
        <f t="shared" si="10"/>
        <v>#N/A</v>
      </c>
      <c r="L92" s="1" t="s">
        <v>1812</v>
      </c>
      <c r="M92" t="s">
        <v>1736</v>
      </c>
      <c r="N92" s="3">
        <v>4.95</v>
      </c>
      <c r="O92" s="1" t="s">
        <v>1812</v>
      </c>
      <c r="P92" t="s">
        <v>1736</v>
      </c>
      <c r="Q92" s="3">
        <v>4.95</v>
      </c>
      <c r="R92" s="1" t="s">
        <v>1812</v>
      </c>
      <c r="S92" t="s">
        <v>1736</v>
      </c>
      <c r="T92" s="3">
        <v>4.95</v>
      </c>
      <c r="U92" s="1" t="s">
        <v>1812</v>
      </c>
      <c r="V92" t="s">
        <v>1736</v>
      </c>
      <c r="W92" s="3">
        <v>4.95</v>
      </c>
    </row>
    <row r="93" spans="1:23" x14ac:dyDescent="0.3">
      <c r="A93" s="6" t="e">
        <f t="shared" si="4"/>
        <v>#N/A</v>
      </c>
      <c r="B93" s="3" t="e">
        <f t="shared" si="7"/>
        <v>#N/A</v>
      </c>
      <c r="C93" s="3" t="e">
        <f t="shared" si="8"/>
        <v>#N/A</v>
      </c>
      <c r="D93" s="3" t="e">
        <f t="shared" si="9"/>
        <v>#N/A</v>
      </c>
      <c r="E93" s="3" t="e">
        <f t="shared" si="10"/>
        <v>#N/A</v>
      </c>
      <c r="L93" s="1" t="s">
        <v>1812</v>
      </c>
      <c r="M93" t="s">
        <v>1737</v>
      </c>
      <c r="N93" s="3">
        <v>5.95</v>
      </c>
      <c r="O93" s="1" t="s">
        <v>1812</v>
      </c>
      <c r="P93" t="s">
        <v>1737</v>
      </c>
      <c r="Q93" s="3">
        <v>5.95</v>
      </c>
      <c r="R93" s="1" t="s">
        <v>1812</v>
      </c>
      <c r="S93" t="s">
        <v>1737</v>
      </c>
      <c r="T93" s="3">
        <v>5.95</v>
      </c>
      <c r="U93" s="1" t="s">
        <v>1812</v>
      </c>
      <c r="V93" t="s">
        <v>1737</v>
      </c>
      <c r="W93" s="3">
        <v>5.95</v>
      </c>
    </row>
    <row r="94" spans="1:23" x14ac:dyDescent="0.3">
      <c r="A94" s="6" t="e">
        <f t="shared" si="4"/>
        <v>#N/A</v>
      </c>
      <c r="B94" s="3" t="e">
        <f t="shared" si="7"/>
        <v>#N/A</v>
      </c>
      <c r="C94" s="3" t="e">
        <f t="shared" si="8"/>
        <v>#N/A</v>
      </c>
      <c r="D94" s="3" t="e">
        <f t="shared" si="9"/>
        <v>#N/A</v>
      </c>
      <c r="E94" s="3" t="e">
        <f t="shared" si="10"/>
        <v>#N/A</v>
      </c>
      <c r="L94" s="1" t="s">
        <v>1676</v>
      </c>
      <c r="M94" t="s">
        <v>1738</v>
      </c>
      <c r="N94" s="3">
        <v>0.05</v>
      </c>
      <c r="O94" s="1" t="s">
        <v>1676</v>
      </c>
      <c r="P94" t="s">
        <v>1738</v>
      </c>
      <c r="Q94" s="3">
        <v>0.05</v>
      </c>
      <c r="R94" s="1" t="s">
        <v>1676</v>
      </c>
      <c r="S94" t="s">
        <v>1738</v>
      </c>
      <c r="T94" s="3">
        <v>0.05</v>
      </c>
      <c r="U94" s="1" t="s">
        <v>1676</v>
      </c>
      <c r="V94" t="s">
        <v>1738</v>
      </c>
      <c r="W94" s="3">
        <v>0.05</v>
      </c>
    </row>
    <row r="95" spans="1:23" x14ac:dyDescent="0.3">
      <c r="A95" s="6" t="e">
        <f t="shared" si="4"/>
        <v>#N/A</v>
      </c>
      <c r="B95" s="3" t="e">
        <f t="shared" si="7"/>
        <v>#N/A</v>
      </c>
      <c r="C95" s="3" t="e">
        <f t="shared" si="8"/>
        <v>#N/A</v>
      </c>
      <c r="D95" s="3" t="e">
        <f t="shared" si="9"/>
        <v>#N/A</v>
      </c>
      <c r="E95" s="3" t="e">
        <f t="shared" si="10"/>
        <v>#N/A</v>
      </c>
      <c r="L95" s="1" t="s">
        <v>1676</v>
      </c>
      <c r="M95" t="s">
        <v>1845</v>
      </c>
      <c r="N95" s="3">
        <v>0.1</v>
      </c>
      <c r="O95" s="1" t="s">
        <v>1676</v>
      </c>
      <c r="P95" t="s">
        <v>1845</v>
      </c>
      <c r="Q95" s="3">
        <v>0.1</v>
      </c>
      <c r="R95" s="1" t="s">
        <v>1676</v>
      </c>
      <c r="S95" t="s">
        <v>1845</v>
      </c>
      <c r="T95" s="3">
        <v>0.1</v>
      </c>
      <c r="U95" s="1" t="s">
        <v>1676</v>
      </c>
      <c r="V95" t="s">
        <v>1845</v>
      </c>
      <c r="W95" s="3">
        <v>0.1</v>
      </c>
    </row>
    <row r="96" spans="1:23" x14ac:dyDescent="0.3">
      <c r="A96" s="6" t="e">
        <f t="shared" si="4"/>
        <v>#N/A</v>
      </c>
      <c r="B96" s="3" t="e">
        <f t="shared" si="7"/>
        <v>#N/A</v>
      </c>
      <c r="C96" s="3" t="e">
        <f t="shared" si="8"/>
        <v>#N/A</v>
      </c>
      <c r="D96" s="3" t="e">
        <f t="shared" si="9"/>
        <v>#N/A</v>
      </c>
      <c r="E96" s="3" t="e">
        <f t="shared" si="10"/>
        <v>#N/A</v>
      </c>
      <c r="L96" s="1" t="s">
        <v>1676</v>
      </c>
      <c r="M96" t="s">
        <v>1846</v>
      </c>
      <c r="N96" s="3">
        <v>0.1</v>
      </c>
      <c r="O96" s="1" t="s">
        <v>1676</v>
      </c>
      <c r="P96" t="s">
        <v>1846</v>
      </c>
      <c r="Q96" s="3">
        <v>0.1</v>
      </c>
      <c r="R96" s="1" t="s">
        <v>1676</v>
      </c>
      <c r="S96" t="s">
        <v>1846</v>
      </c>
      <c r="T96" s="3">
        <v>0.1</v>
      </c>
      <c r="U96" s="1" t="s">
        <v>1676</v>
      </c>
      <c r="V96" t="s">
        <v>1846</v>
      </c>
      <c r="W96" s="3">
        <v>0.1</v>
      </c>
    </row>
    <row r="97" spans="1:23" x14ac:dyDescent="0.3">
      <c r="A97" s="6" t="e">
        <f t="shared" si="4"/>
        <v>#N/A</v>
      </c>
      <c r="B97" s="3" t="e">
        <f t="shared" si="7"/>
        <v>#N/A</v>
      </c>
      <c r="C97" s="3" t="e">
        <f t="shared" si="8"/>
        <v>#N/A</v>
      </c>
      <c r="D97" s="3" t="e">
        <f t="shared" si="9"/>
        <v>#N/A</v>
      </c>
      <c r="E97" s="3" t="e">
        <f t="shared" si="10"/>
        <v>#N/A</v>
      </c>
      <c r="L97" s="1" t="s">
        <v>1676</v>
      </c>
      <c r="M97" t="s">
        <v>1847</v>
      </c>
      <c r="N97" s="3">
        <v>0.1</v>
      </c>
      <c r="O97" s="1" t="s">
        <v>1676</v>
      </c>
      <c r="P97" t="s">
        <v>1847</v>
      </c>
      <c r="Q97" s="3">
        <v>0.1</v>
      </c>
      <c r="R97" s="1" t="s">
        <v>1676</v>
      </c>
      <c r="S97" t="s">
        <v>1847</v>
      </c>
      <c r="T97" s="3">
        <v>0.1</v>
      </c>
      <c r="U97" s="1" t="s">
        <v>1676</v>
      </c>
      <c r="V97" t="s">
        <v>1847</v>
      </c>
      <c r="W97" s="3">
        <v>0.1</v>
      </c>
    </row>
    <row r="98" spans="1:23" x14ac:dyDescent="0.3">
      <c r="A98" s="6" t="e">
        <f t="shared" si="4"/>
        <v>#N/A</v>
      </c>
      <c r="B98" s="3" t="e">
        <f t="shared" si="7"/>
        <v>#N/A</v>
      </c>
      <c r="C98" s="3" t="e">
        <f t="shared" si="8"/>
        <v>#N/A</v>
      </c>
      <c r="D98" s="3" t="e">
        <f t="shared" si="9"/>
        <v>#N/A</v>
      </c>
      <c r="E98" s="3" t="e">
        <f t="shared" si="10"/>
        <v>#N/A</v>
      </c>
      <c r="L98" s="1" t="s">
        <v>1676</v>
      </c>
      <c r="M98" t="s">
        <v>1848</v>
      </c>
      <c r="N98" s="3">
        <v>0.1</v>
      </c>
      <c r="O98" s="1" t="s">
        <v>1676</v>
      </c>
      <c r="P98" t="s">
        <v>1848</v>
      </c>
      <c r="Q98" s="3">
        <v>0.1</v>
      </c>
      <c r="R98" s="1" t="s">
        <v>1676</v>
      </c>
      <c r="S98" t="s">
        <v>1848</v>
      </c>
      <c r="T98" s="3">
        <v>0.1</v>
      </c>
      <c r="U98" s="1" t="s">
        <v>1676</v>
      </c>
      <c r="V98" t="s">
        <v>1848</v>
      </c>
      <c r="W98" s="3">
        <v>0.1</v>
      </c>
    </row>
    <row r="99" spans="1:23" x14ac:dyDescent="0.3">
      <c r="A99" s="6" t="e">
        <f t="shared" si="4"/>
        <v>#N/A</v>
      </c>
      <c r="B99" s="3" t="e">
        <f t="shared" si="7"/>
        <v>#N/A</v>
      </c>
      <c r="C99" s="3" t="e">
        <f t="shared" si="8"/>
        <v>#N/A</v>
      </c>
      <c r="D99" s="3" t="e">
        <f t="shared" si="9"/>
        <v>#N/A</v>
      </c>
      <c r="E99" s="3" t="e">
        <f t="shared" si="10"/>
        <v>#N/A</v>
      </c>
      <c r="L99" s="1" t="s">
        <v>1676</v>
      </c>
      <c r="M99" t="s">
        <v>1849</v>
      </c>
      <c r="N99" s="3">
        <v>0.15</v>
      </c>
      <c r="O99" s="1" t="s">
        <v>1676</v>
      </c>
      <c r="P99" t="s">
        <v>1849</v>
      </c>
      <c r="Q99" s="3">
        <v>0.15</v>
      </c>
      <c r="R99" s="1" t="s">
        <v>1676</v>
      </c>
      <c r="S99" t="s">
        <v>1849</v>
      </c>
      <c r="T99" s="3">
        <v>0.15</v>
      </c>
      <c r="U99" s="1" t="s">
        <v>1676</v>
      </c>
      <c r="V99" t="s">
        <v>1849</v>
      </c>
      <c r="W99" s="3">
        <v>0.15</v>
      </c>
    </row>
    <row r="100" spans="1:23" x14ac:dyDescent="0.3">
      <c r="A100" s="6" t="e">
        <f t="shared" ref="A100:A163" si="11">IF($B$1="Solo",IF(L99="","",L99),IF($B$1="Duet",IF(O99="","",O99),IF($B$1="Mixed",IF(R99="","",R99),IF(U99="","",U99))))</f>
        <v>#N/A</v>
      </c>
      <c r="B100" s="3" t="e">
        <f t="shared" ref="B100:B116" si="12">IF($B$1="Solo",IF(M99="","",M99),IF($B$1="Duet",IF(P99="","",P99),IF($B$1="Mixed",IF(S99="","",S99),IF(V99="","",V99))))</f>
        <v>#N/A</v>
      </c>
      <c r="C100" s="3" t="e">
        <f t="shared" ref="C100:C116" si="13">IF($B$1="Solo",IF(N99="","",N99),IF($B$1="Duet",IF(Q99="","",Q99),IF($B$1="Mixed",IF(T99="","",T99),IF(W99="","",W99))))</f>
        <v>#N/A</v>
      </c>
      <c r="D100" s="3" t="e">
        <f t="shared" si="9"/>
        <v>#N/A</v>
      </c>
      <c r="E100" s="3" t="e">
        <f t="shared" si="10"/>
        <v>#N/A</v>
      </c>
      <c r="L100" s="1" t="s">
        <v>1676</v>
      </c>
      <c r="M100" t="s">
        <v>1850</v>
      </c>
      <c r="N100" s="3">
        <v>0.15</v>
      </c>
      <c r="O100" s="1" t="s">
        <v>1676</v>
      </c>
      <c r="P100" t="s">
        <v>1850</v>
      </c>
      <c r="Q100" s="3">
        <v>0.15</v>
      </c>
      <c r="R100" s="1" t="s">
        <v>1676</v>
      </c>
      <c r="S100" t="s">
        <v>1850</v>
      </c>
      <c r="T100" s="3">
        <v>0.15</v>
      </c>
      <c r="U100" s="1" t="s">
        <v>1676</v>
      </c>
      <c r="V100" t="s">
        <v>1850</v>
      </c>
      <c r="W100" s="3">
        <v>0.15</v>
      </c>
    </row>
    <row r="101" spans="1:23" x14ac:dyDescent="0.3">
      <c r="A101" s="6" t="e">
        <f t="shared" si="11"/>
        <v>#N/A</v>
      </c>
      <c r="B101" s="3" t="e">
        <f t="shared" si="12"/>
        <v>#N/A</v>
      </c>
      <c r="C101" s="3" t="e">
        <f t="shared" si="13"/>
        <v>#N/A</v>
      </c>
      <c r="D101" s="3" t="e">
        <f t="shared" si="9"/>
        <v>#N/A</v>
      </c>
      <c r="E101" s="3" t="e">
        <f t="shared" si="10"/>
        <v>#N/A</v>
      </c>
      <c r="L101" s="1" t="s">
        <v>1676</v>
      </c>
      <c r="M101" t="s">
        <v>1851</v>
      </c>
      <c r="N101" s="3">
        <v>0.2</v>
      </c>
      <c r="O101" s="1" t="s">
        <v>1676</v>
      </c>
      <c r="P101" t="s">
        <v>1851</v>
      </c>
      <c r="Q101" s="3">
        <v>0.2</v>
      </c>
      <c r="R101" s="1" t="s">
        <v>1676</v>
      </c>
      <c r="S101" t="s">
        <v>1851</v>
      </c>
      <c r="T101" s="3">
        <v>0.2</v>
      </c>
      <c r="U101" s="1" t="s">
        <v>1676</v>
      </c>
      <c r="V101" t="s">
        <v>1851</v>
      </c>
      <c r="W101" s="3">
        <v>0.2</v>
      </c>
    </row>
    <row r="102" spans="1:23" x14ac:dyDescent="0.3">
      <c r="A102" s="6" t="e">
        <f t="shared" si="11"/>
        <v>#N/A</v>
      </c>
      <c r="B102" s="3" t="e">
        <f t="shared" si="12"/>
        <v>#N/A</v>
      </c>
      <c r="C102" s="3" t="e">
        <f t="shared" si="13"/>
        <v>#N/A</v>
      </c>
      <c r="D102" s="3" t="e">
        <f t="shared" si="9"/>
        <v>#N/A</v>
      </c>
      <c r="E102" s="3" t="e">
        <f t="shared" si="10"/>
        <v>#N/A</v>
      </c>
      <c r="L102" s="1" t="s">
        <v>1676</v>
      </c>
      <c r="M102" t="s">
        <v>1852</v>
      </c>
      <c r="N102" s="3">
        <v>0.2</v>
      </c>
      <c r="O102" s="1" t="s">
        <v>1676</v>
      </c>
      <c r="P102" t="s">
        <v>1852</v>
      </c>
      <c r="Q102" s="3">
        <v>0.2</v>
      </c>
      <c r="R102" s="1" t="s">
        <v>1676</v>
      </c>
      <c r="S102" t="s">
        <v>1852</v>
      </c>
      <c r="T102" s="3">
        <v>0.2</v>
      </c>
      <c r="U102" s="1" t="s">
        <v>1676</v>
      </c>
      <c r="V102" t="s">
        <v>1852</v>
      </c>
      <c r="W102" s="3">
        <v>0.2</v>
      </c>
    </row>
    <row r="103" spans="1:23" x14ac:dyDescent="0.3">
      <c r="A103" s="6" t="e">
        <f t="shared" si="11"/>
        <v>#N/A</v>
      </c>
      <c r="B103" s="3" t="e">
        <f t="shared" si="12"/>
        <v>#N/A</v>
      </c>
      <c r="C103" s="3" t="e">
        <f t="shared" si="13"/>
        <v>#N/A</v>
      </c>
      <c r="D103" s="3" t="e">
        <f t="shared" si="9"/>
        <v>#N/A</v>
      </c>
      <c r="E103" s="3" t="e">
        <f t="shared" si="10"/>
        <v>#N/A</v>
      </c>
      <c r="L103" s="1" t="s">
        <v>1676</v>
      </c>
      <c r="M103" t="s">
        <v>1853</v>
      </c>
      <c r="N103" s="3">
        <v>0.45</v>
      </c>
      <c r="O103" s="1" t="s">
        <v>1676</v>
      </c>
      <c r="P103" t="s">
        <v>1853</v>
      </c>
      <c r="Q103" s="3">
        <v>0.45</v>
      </c>
      <c r="R103" s="1" t="s">
        <v>1676</v>
      </c>
      <c r="S103" t="s">
        <v>1853</v>
      </c>
      <c r="T103" s="3">
        <v>0.45</v>
      </c>
      <c r="U103" s="1" t="s">
        <v>1676</v>
      </c>
      <c r="V103" t="s">
        <v>1853</v>
      </c>
      <c r="W103" s="3">
        <v>0.45</v>
      </c>
    </row>
    <row r="104" spans="1:23" x14ac:dyDescent="0.3">
      <c r="A104" s="6" t="e">
        <f t="shared" si="11"/>
        <v>#N/A</v>
      </c>
      <c r="B104" s="3" t="e">
        <f t="shared" si="12"/>
        <v>#N/A</v>
      </c>
      <c r="C104" s="3" t="e">
        <f t="shared" si="13"/>
        <v>#N/A</v>
      </c>
      <c r="D104" s="3" t="e">
        <f t="shared" si="9"/>
        <v>#N/A</v>
      </c>
      <c r="E104" s="3" t="e">
        <f t="shared" si="10"/>
        <v>#N/A</v>
      </c>
      <c r="L104" s="1" t="s">
        <v>1676</v>
      </c>
      <c r="M104" t="s">
        <v>1854</v>
      </c>
      <c r="N104" s="3">
        <v>0.45</v>
      </c>
      <c r="O104" s="1" t="s">
        <v>1676</v>
      </c>
      <c r="P104" t="s">
        <v>1854</v>
      </c>
      <c r="Q104" s="3">
        <v>0.45</v>
      </c>
      <c r="R104" s="1" t="s">
        <v>1676</v>
      </c>
      <c r="S104" t="s">
        <v>1854</v>
      </c>
      <c r="T104" s="3">
        <v>0.45</v>
      </c>
      <c r="U104" s="1" t="s">
        <v>1676</v>
      </c>
      <c r="V104" t="s">
        <v>1854</v>
      </c>
      <c r="W104" s="3">
        <v>0.45</v>
      </c>
    </row>
    <row r="105" spans="1:23" x14ac:dyDescent="0.3">
      <c r="A105" s="6" t="e">
        <f t="shared" si="11"/>
        <v>#N/A</v>
      </c>
      <c r="B105" s="3" t="e">
        <f t="shared" si="12"/>
        <v>#N/A</v>
      </c>
      <c r="C105" s="3" t="e">
        <f t="shared" si="13"/>
        <v>#N/A</v>
      </c>
      <c r="D105" s="3" t="e">
        <f t="shared" si="9"/>
        <v>#N/A</v>
      </c>
      <c r="E105" s="3" t="e">
        <f t="shared" si="10"/>
        <v>#N/A</v>
      </c>
      <c r="L105" s="1" t="s">
        <v>1676</v>
      </c>
      <c r="M105" t="s">
        <v>1739</v>
      </c>
      <c r="N105" s="3">
        <v>0.65</v>
      </c>
      <c r="O105" s="1" t="s">
        <v>1676</v>
      </c>
      <c r="P105" t="s">
        <v>1739</v>
      </c>
      <c r="Q105" s="3">
        <v>0.65</v>
      </c>
      <c r="R105" s="1" t="s">
        <v>1676</v>
      </c>
      <c r="S105" t="s">
        <v>1739</v>
      </c>
      <c r="T105" s="3">
        <v>0.65</v>
      </c>
      <c r="U105" s="1" t="s">
        <v>1676</v>
      </c>
      <c r="V105" t="s">
        <v>1739</v>
      </c>
      <c r="W105" s="3">
        <v>0.65</v>
      </c>
    </row>
    <row r="106" spans="1:23" x14ac:dyDescent="0.3">
      <c r="A106" s="6" t="e">
        <f t="shared" si="11"/>
        <v>#N/A</v>
      </c>
      <c r="B106" s="3" t="e">
        <f t="shared" si="12"/>
        <v>#N/A</v>
      </c>
      <c r="C106" s="3" t="e">
        <f t="shared" si="13"/>
        <v>#N/A</v>
      </c>
      <c r="D106" s="3" t="e">
        <f t="shared" si="9"/>
        <v>#N/A</v>
      </c>
      <c r="E106" s="3" t="e">
        <f t="shared" si="10"/>
        <v>#N/A</v>
      </c>
      <c r="L106" s="1" t="s">
        <v>1676</v>
      </c>
      <c r="M106" t="s">
        <v>1740</v>
      </c>
      <c r="N106" s="3">
        <v>1.1499999999999999</v>
      </c>
      <c r="O106" s="1" t="s">
        <v>1676</v>
      </c>
      <c r="P106" t="s">
        <v>1740</v>
      </c>
      <c r="Q106" s="3">
        <v>1.1499999999999999</v>
      </c>
      <c r="R106" s="1" t="s">
        <v>1676</v>
      </c>
      <c r="S106" t="s">
        <v>1740</v>
      </c>
      <c r="T106" s="3">
        <v>1.1499999999999999</v>
      </c>
      <c r="U106" s="1" t="s">
        <v>1676</v>
      </c>
      <c r="V106" t="s">
        <v>1740</v>
      </c>
      <c r="W106" s="3">
        <v>1.1499999999999999</v>
      </c>
    </row>
    <row r="107" spans="1:23" x14ac:dyDescent="0.3">
      <c r="A107" s="6" t="e">
        <f t="shared" si="11"/>
        <v>#N/A</v>
      </c>
      <c r="B107" s="3" t="e">
        <f t="shared" si="12"/>
        <v>#N/A</v>
      </c>
      <c r="C107" s="3" t="e">
        <f t="shared" si="13"/>
        <v>#N/A</v>
      </c>
      <c r="D107" s="3" t="e">
        <f t="shared" si="9"/>
        <v>#N/A</v>
      </c>
      <c r="E107" s="3" t="e">
        <f t="shared" si="10"/>
        <v>#N/A</v>
      </c>
      <c r="L107" s="1" t="s">
        <v>1676</v>
      </c>
      <c r="M107" t="s">
        <v>1741</v>
      </c>
      <c r="N107" s="3">
        <v>1.45</v>
      </c>
      <c r="O107" s="1" t="s">
        <v>1676</v>
      </c>
      <c r="P107" t="s">
        <v>1741</v>
      </c>
      <c r="Q107" s="3">
        <v>1.45</v>
      </c>
      <c r="R107" s="1" t="s">
        <v>1676</v>
      </c>
      <c r="S107" t="s">
        <v>1741</v>
      </c>
      <c r="T107" s="3">
        <v>1.45</v>
      </c>
      <c r="U107" s="1" t="s">
        <v>1676</v>
      </c>
      <c r="V107" t="s">
        <v>1741</v>
      </c>
      <c r="W107" s="3">
        <v>1.45</v>
      </c>
    </row>
    <row r="108" spans="1:23" x14ac:dyDescent="0.3">
      <c r="A108" s="6" t="e">
        <f t="shared" si="11"/>
        <v>#N/A</v>
      </c>
      <c r="B108" s="3" t="e">
        <f t="shared" si="12"/>
        <v>#N/A</v>
      </c>
      <c r="C108" s="3" t="e">
        <f t="shared" si="13"/>
        <v>#N/A</v>
      </c>
      <c r="D108" s="3" t="e">
        <f t="shared" si="9"/>
        <v>#N/A</v>
      </c>
      <c r="E108" s="3" t="e">
        <f t="shared" si="10"/>
        <v>#N/A</v>
      </c>
      <c r="L108" s="1" t="s">
        <v>1676</v>
      </c>
      <c r="M108" t="s">
        <v>1742</v>
      </c>
      <c r="N108" s="3">
        <v>1.65</v>
      </c>
      <c r="O108" s="1" t="s">
        <v>1676</v>
      </c>
      <c r="P108" t="s">
        <v>1742</v>
      </c>
      <c r="Q108" s="3">
        <v>1.65</v>
      </c>
      <c r="R108" s="1" t="s">
        <v>1676</v>
      </c>
      <c r="S108" t="s">
        <v>1742</v>
      </c>
      <c r="T108" s="3">
        <v>1.65</v>
      </c>
      <c r="U108" s="1" t="s">
        <v>1676</v>
      </c>
      <c r="V108" t="s">
        <v>1742</v>
      </c>
      <c r="W108" s="3">
        <v>1.65</v>
      </c>
    </row>
    <row r="109" spans="1:23" x14ac:dyDescent="0.3">
      <c r="A109" s="6" t="e">
        <f t="shared" si="11"/>
        <v>#N/A</v>
      </c>
      <c r="B109" s="3" t="e">
        <f t="shared" si="12"/>
        <v>#N/A</v>
      </c>
      <c r="C109" s="3" t="e">
        <f t="shared" si="13"/>
        <v>#N/A</v>
      </c>
      <c r="D109" s="3" t="e">
        <f t="shared" si="9"/>
        <v>#N/A</v>
      </c>
      <c r="E109" s="3" t="e">
        <f t="shared" si="10"/>
        <v>#N/A</v>
      </c>
      <c r="L109" s="1" t="s">
        <v>631</v>
      </c>
      <c r="M109" t="s">
        <v>1743</v>
      </c>
      <c r="N109" s="3">
        <v>0.05</v>
      </c>
      <c r="O109" s="1" t="s">
        <v>631</v>
      </c>
      <c r="P109" t="s">
        <v>1743</v>
      </c>
      <c r="Q109" s="3">
        <v>0.05</v>
      </c>
      <c r="R109" s="1" t="s">
        <v>631</v>
      </c>
      <c r="S109" t="s">
        <v>1743</v>
      </c>
      <c r="T109" s="3">
        <v>0.05</v>
      </c>
      <c r="U109" s="1" t="s">
        <v>631</v>
      </c>
      <c r="V109" t="s">
        <v>1743</v>
      </c>
      <c r="W109" s="3">
        <v>0.05</v>
      </c>
    </row>
    <row r="110" spans="1:23" x14ac:dyDescent="0.3">
      <c r="A110" s="6" t="e">
        <f t="shared" si="11"/>
        <v>#N/A</v>
      </c>
      <c r="B110" s="3" t="e">
        <f t="shared" si="12"/>
        <v>#N/A</v>
      </c>
      <c r="C110" s="3" t="e">
        <f t="shared" si="13"/>
        <v>#N/A</v>
      </c>
      <c r="D110" s="3" t="e">
        <f t="shared" si="9"/>
        <v>#N/A</v>
      </c>
      <c r="E110" s="3" t="e">
        <f t="shared" si="10"/>
        <v>#N/A</v>
      </c>
      <c r="L110" s="1" t="s">
        <v>631</v>
      </c>
      <c r="M110" t="s">
        <v>1855</v>
      </c>
      <c r="N110" s="3">
        <v>0.1</v>
      </c>
      <c r="O110" s="1" t="s">
        <v>631</v>
      </c>
      <c r="P110" t="s">
        <v>1855</v>
      </c>
      <c r="Q110" s="3">
        <v>0.1</v>
      </c>
      <c r="R110" s="1" t="s">
        <v>631</v>
      </c>
      <c r="S110" t="s">
        <v>1855</v>
      </c>
      <c r="T110" s="3">
        <v>0.1</v>
      </c>
      <c r="U110" s="1" t="s">
        <v>631</v>
      </c>
      <c r="V110" t="s">
        <v>1855</v>
      </c>
      <c r="W110" s="3">
        <v>0.1</v>
      </c>
    </row>
    <row r="111" spans="1:23" x14ac:dyDescent="0.3">
      <c r="A111" s="6" t="e">
        <f t="shared" si="11"/>
        <v>#N/A</v>
      </c>
      <c r="B111" s="3" t="e">
        <f t="shared" si="12"/>
        <v>#N/A</v>
      </c>
      <c r="C111" s="3" t="e">
        <f t="shared" si="13"/>
        <v>#N/A</v>
      </c>
      <c r="D111" s="3" t="e">
        <f t="shared" si="9"/>
        <v>#N/A</v>
      </c>
      <c r="E111" s="3" t="e">
        <f t="shared" si="10"/>
        <v>#N/A</v>
      </c>
      <c r="L111" s="1" t="s">
        <v>631</v>
      </c>
      <c r="M111" t="s">
        <v>1856</v>
      </c>
      <c r="N111" s="3">
        <v>0.1</v>
      </c>
      <c r="O111" s="1" t="s">
        <v>631</v>
      </c>
      <c r="P111" t="s">
        <v>1856</v>
      </c>
      <c r="Q111" s="3">
        <v>0.1</v>
      </c>
      <c r="R111" s="1" t="s">
        <v>631</v>
      </c>
      <c r="S111" t="s">
        <v>1856</v>
      </c>
      <c r="T111" s="3">
        <v>0.1</v>
      </c>
      <c r="U111" s="1" t="s">
        <v>631</v>
      </c>
      <c r="V111" t="s">
        <v>1856</v>
      </c>
      <c r="W111" s="3">
        <v>0.1</v>
      </c>
    </row>
    <row r="112" spans="1:23" x14ac:dyDescent="0.3">
      <c r="A112" s="6" t="e">
        <f t="shared" si="11"/>
        <v>#N/A</v>
      </c>
      <c r="B112" s="3" t="e">
        <f t="shared" si="12"/>
        <v>#N/A</v>
      </c>
      <c r="C112" s="3" t="e">
        <f t="shared" si="13"/>
        <v>#N/A</v>
      </c>
      <c r="D112" s="3" t="e">
        <f t="shared" si="9"/>
        <v>#N/A</v>
      </c>
      <c r="E112" s="3" t="e">
        <f t="shared" si="10"/>
        <v>#N/A</v>
      </c>
      <c r="L112" s="1" t="s">
        <v>631</v>
      </c>
      <c r="M112" t="s">
        <v>1857</v>
      </c>
      <c r="N112" s="3">
        <v>0.1</v>
      </c>
      <c r="O112" s="1" t="s">
        <v>631</v>
      </c>
      <c r="P112" t="s">
        <v>1857</v>
      </c>
      <c r="Q112" s="3">
        <v>0.1</v>
      </c>
      <c r="R112" s="1" t="s">
        <v>631</v>
      </c>
      <c r="S112" t="s">
        <v>1857</v>
      </c>
      <c r="T112" s="3">
        <v>0.1</v>
      </c>
      <c r="U112" s="1" t="s">
        <v>631</v>
      </c>
      <c r="V112" t="s">
        <v>1857</v>
      </c>
      <c r="W112" s="3">
        <v>0.1</v>
      </c>
    </row>
    <row r="113" spans="1:23" x14ac:dyDescent="0.3">
      <c r="A113" s="6" t="e">
        <f t="shared" si="11"/>
        <v>#N/A</v>
      </c>
      <c r="B113" s="3" t="e">
        <f t="shared" si="12"/>
        <v>#N/A</v>
      </c>
      <c r="C113" s="3" t="e">
        <f t="shared" si="13"/>
        <v>#N/A</v>
      </c>
      <c r="D113" s="3" t="e">
        <f t="shared" si="9"/>
        <v>#N/A</v>
      </c>
      <c r="E113" s="3" t="e">
        <f t="shared" si="10"/>
        <v>#N/A</v>
      </c>
      <c r="L113" s="1" t="s">
        <v>631</v>
      </c>
      <c r="M113" t="s">
        <v>1858</v>
      </c>
      <c r="N113" s="3">
        <v>0.2</v>
      </c>
      <c r="O113" s="1" t="s">
        <v>631</v>
      </c>
      <c r="P113" t="s">
        <v>1858</v>
      </c>
      <c r="Q113" s="3">
        <v>0.2</v>
      </c>
      <c r="R113" s="1" t="s">
        <v>631</v>
      </c>
      <c r="S113" t="s">
        <v>1858</v>
      </c>
      <c r="T113" s="3">
        <v>0.2</v>
      </c>
      <c r="U113" s="1" t="s">
        <v>631</v>
      </c>
      <c r="V113" t="s">
        <v>1858</v>
      </c>
      <c r="W113" s="3">
        <v>0.2</v>
      </c>
    </row>
    <row r="114" spans="1:23" x14ac:dyDescent="0.3">
      <c r="A114" s="6" t="e">
        <f t="shared" si="11"/>
        <v>#N/A</v>
      </c>
      <c r="B114" s="3" t="e">
        <f t="shared" si="12"/>
        <v>#N/A</v>
      </c>
      <c r="C114" s="3" t="e">
        <f t="shared" si="13"/>
        <v>#N/A</v>
      </c>
      <c r="D114" s="3" t="e">
        <f t="shared" si="9"/>
        <v>#N/A</v>
      </c>
      <c r="E114" s="3" t="e">
        <f t="shared" si="10"/>
        <v>#N/A</v>
      </c>
      <c r="L114" s="1" t="s">
        <v>631</v>
      </c>
      <c r="M114" t="s">
        <v>1859</v>
      </c>
      <c r="N114" s="3">
        <v>0.2</v>
      </c>
      <c r="O114" s="1" t="s">
        <v>631</v>
      </c>
      <c r="P114" t="s">
        <v>1859</v>
      </c>
      <c r="Q114" s="3">
        <v>0.2</v>
      </c>
      <c r="R114" s="1" t="s">
        <v>631</v>
      </c>
      <c r="S114" t="s">
        <v>1859</v>
      </c>
      <c r="T114" s="3">
        <v>0.2</v>
      </c>
      <c r="U114" s="1" t="s">
        <v>631</v>
      </c>
      <c r="V114" t="s">
        <v>1859</v>
      </c>
      <c r="W114" s="3">
        <v>0.2</v>
      </c>
    </row>
    <row r="115" spans="1:23" x14ac:dyDescent="0.3">
      <c r="A115" s="6" t="e">
        <f t="shared" si="11"/>
        <v>#N/A</v>
      </c>
      <c r="B115" s="3" t="e">
        <f t="shared" si="12"/>
        <v>#N/A</v>
      </c>
      <c r="C115" s="3" t="e">
        <f t="shared" si="13"/>
        <v>#N/A</v>
      </c>
      <c r="D115" s="3" t="e">
        <f t="shared" si="9"/>
        <v>#N/A</v>
      </c>
      <c r="E115" s="3" t="e">
        <f t="shared" si="10"/>
        <v>#N/A</v>
      </c>
      <c r="L115" s="1" t="s">
        <v>631</v>
      </c>
      <c r="M115" t="s">
        <v>1860</v>
      </c>
      <c r="N115" s="3">
        <v>0.2</v>
      </c>
      <c r="O115" s="1" t="s">
        <v>631</v>
      </c>
      <c r="P115" t="s">
        <v>1860</v>
      </c>
      <c r="Q115" s="3">
        <v>0.2</v>
      </c>
      <c r="R115" s="1" t="s">
        <v>631</v>
      </c>
      <c r="S115" t="s">
        <v>1860</v>
      </c>
      <c r="T115" s="3">
        <v>0.2</v>
      </c>
      <c r="U115" s="1" t="s">
        <v>631</v>
      </c>
      <c r="V115" t="s">
        <v>1860</v>
      </c>
      <c r="W115" s="3">
        <v>0.2</v>
      </c>
    </row>
    <row r="116" spans="1:23" x14ac:dyDescent="0.3">
      <c r="A116" s="6" t="e">
        <f t="shared" si="11"/>
        <v>#N/A</v>
      </c>
      <c r="B116" s="3" t="e">
        <f t="shared" si="12"/>
        <v>#N/A</v>
      </c>
      <c r="C116" s="3" t="e">
        <f t="shared" si="13"/>
        <v>#N/A</v>
      </c>
      <c r="D116" s="3" t="e">
        <f t="shared" si="9"/>
        <v>#N/A</v>
      </c>
      <c r="E116" s="3" t="e">
        <f t="shared" si="10"/>
        <v>#N/A</v>
      </c>
      <c r="L116" s="1" t="s">
        <v>631</v>
      </c>
      <c r="M116" t="s">
        <v>1861</v>
      </c>
      <c r="N116" s="3">
        <v>0.3</v>
      </c>
      <c r="O116" s="1" t="s">
        <v>631</v>
      </c>
      <c r="P116" t="s">
        <v>1861</v>
      </c>
      <c r="Q116" s="3">
        <v>0.3</v>
      </c>
      <c r="R116" s="1" t="s">
        <v>631</v>
      </c>
      <c r="S116" t="s">
        <v>1861</v>
      </c>
      <c r="T116" s="3">
        <v>0.3</v>
      </c>
      <c r="U116" s="1" t="s">
        <v>631</v>
      </c>
      <c r="V116" t="s">
        <v>1861</v>
      </c>
      <c r="W116" s="3">
        <v>0.3</v>
      </c>
    </row>
    <row r="117" spans="1:23" x14ac:dyDescent="0.3">
      <c r="A117" s="6" t="e">
        <f t="shared" si="11"/>
        <v>#N/A</v>
      </c>
      <c r="B117" s="3" t="e">
        <f t="shared" ref="B117:B136" si="14">IF($B$1="Solo",IF(M116="","",M116),IF($B$1="Duet",IF(P116="","",P116),IF($B$1="Mixed",IF(S116="","",S116),IF(V116="","",V116))))</f>
        <v>#N/A</v>
      </c>
      <c r="C117" s="3" t="e">
        <f t="shared" ref="C117:C136" si="15">IF($B$1="Solo",IF(N116="","",N116),IF($B$1="Duet",IF(Q116="","",Q116),IF($B$1="Mixed",IF(T116="","",T116),IF(W116="","",W116))))</f>
        <v>#N/A</v>
      </c>
      <c r="D117" s="3" t="e">
        <f t="shared" si="9"/>
        <v>#N/A</v>
      </c>
      <c r="E117" s="3" t="e">
        <f t="shared" si="10"/>
        <v>#N/A</v>
      </c>
      <c r="L117" s="1" t="s">
        <v>631</v>
      </c>
      <c r="M117" t="s">
        <v>1862</v>
      </c>
      <c r="N117" s="3">
        <v>0.3</v>
      </c>
      <c r="O117" s="1" t="s">
        <v>631</v>
      </c>
      <c r="P117" t="s">
        <v>1862</v>
      </c>
      <c r="Q117" s="3">
        <v>0.3</v>
      </c>
      <c r="R117" s="1" t="s">
        <v>631</v>
      </c>
      <c r="S117" t="s">
        <v>1862</v>
      </c>
      <c r="T117" s="3">
        <v>0.3</v>
      </c>
      <c r="U117" s="1" t="s">
        <v>631</v>
      </c>
      <c r="V117" t="s">
        <v>1862</v>
      </c>
      <c r="W117" s="3">
        <v>0.3</v>
      </c>
    </row>
    <row r="118" spans="1:23" x14ac:dyDescent="0.3">
      <c r="A118" s="6" t="e">
        <f t="shared" si="11"/>
        <v>#N/A</v>
      </c>
      <c r="B118" s="3" t="e">
        <f t="shared" si="14"/>
        <v>#N/A</v>
      </c>
      <c r="C118" s="3" t="e">
        <f t="shared" si="15"/>
        <v>#N/A</v>
      </c>
      <c r="D118" s="3" t="e">
        <f t="shared" si="9"/>
        <v>#N/A</v>
      </c>
      <c r="E118" s="3" t="e">
        <f t="shared" si="10"/>
        <v>#N/A</v>
      </c>
      <c r="L118" s="1" t="s">
        <v>631</v>
      </c>
      <c r="M118" t="s">
        <v>1863</v>
      </c>
      <c r="N118" s="3">
        <v>0.3</v>
      </c>
      <c r="O118" s="1" t="s">
        <v>631</v>
      </c>
      <c r="P118" t="s">
        <v>1863</v>
      </c>
      <c r="Q118" s="3">
        <v>0.3</v>
      </c>
      <c r="R118" s="1" t="s">
        <v>631</v>
      </c>
      <c r="S118" t="s">
        <v>1863</v>
      </c>
      <c r="T118" s="3">
        <v>0.3</v>
      </c>
      <c r="U118" s="1" t="s">
        <v>631</v>
      </c>
      <c r="V118" t="s">
        <v>1863</v>
      </c>
      <c r="W118" s="3">
        <v>0.3</v>
      </c>
    </row>
    <row r="119" spans="1:23" x14ac:dyDescent="0.3">
      <c r="A119" s="6" t="e">
        <f t="shared" si="11"/>
        <v>#N/A</v>
      </c>
      <c r="B119" s="3" t="e">
        <f t="shared" si="14"/>
        <v>#N/A</v>
      </c>
      <c r="C119" s="3" t="e">
        <f t="shared" si="15"/>
        <v>#N/A</v>
      </c>
      <c r="D119" s="3" t="e">
        <f t="shared" si="9"/>
        <v>#N/A</v>
      </c>
      <c r="E119" s="3" t="e">
        <f t="shared" si="10"/>
        <v>#N/A</v>
      </c>
      <c r="L119" s="1" t="s">
        <v>631</v>
      </c>
      <c r="M119" t="s">
        <v>1864</v>
      </c>
      <c r="N119" s="3">
        <v>0.4</v>
      </c>
      <c r="O119" s="1" t="s">
        <v>631</v>
      </c>
      <c r="P119" t="s">
        <v>1864</v>
      </c>
      <c r="Q119" s="3">
        <v>0.4</v>
      </c>
      <c r="R119" s="1" t="s">
        <v>631</v>
      </c>
      <c r="S119" t="s">
        <v>1864</v>
      </c>
      <c r="T119" s="3">
        <v>0.4</v>
      </c>
      <c r="U119" s="1" t="s">
        <v>631</v>
      </c>
      <c r="V119" t="s">
        <v>1864</v>
      </c>
      <c r="W119" s="3">
        <v>0.4</v>
      </c>
    </row>
    <row r="120" spans="1:23" x14ac:dyDescent="0.3">
      <c r="A120" s="6" t="e">
        <f t="shared" si="11"/>
        <v>#N/A</v>
      </c>
      <c r="B120" s="3" t="e">
        <f t="shared" si="14"/>
        <v>#N/A</v>
      </c>
      <c r="C120" s="3" t="e">
        <f t="shared" si="15"/>
        <v>#N/A</v>
      </c>
      <c r="D120" s="3" t="e">
        <f t="shared" si="9"/>
        <v>#N/A</v>
      </c>
      <c r="E120" s="3" t="e">
        <f t="shared" si="10"/>
        <v>#N/A</v>
      </c>
      <c r="L120" s="1" t="s">
        <v>631</v>
      </c>
      <c r="M120" t="s">
        <v>1865</v>
      </c>
      <c r="N120" s="3">
        <v>0.4</v>
      </c>
      <c r="O120" s="1" t="s">
        <v>631</v>
      </c>
      <c r="P120" t="s">
        <v>1865</v>
      </c>
      <c r="Q120" s="3">
        <v>0.4</v>
      </c>
      <c r="R120" s="1" t="s">
        <v>631</v>
      </c>
      <c r="S120" t="s">
        <v>1865</v>
      </c>
      <c r="T120" s="3">
        <v>0.4</v>
      </c>
      <c r="U120" s="1" t="s">
        <v>631</v>
      </c>
      <c r="V120" t="s">
        <v>1865</v>
      </c>
      <c r="W120" s="3">
        <v>0.4</v>
      </c>
    </row>
    <row r="121" spans="1:23" x14ac:dyDescent="0.3">
      <c r="A121" s="6" t="e">
        <f t="shared" si="11"/>
        <v>#N/A</v>
      </c>
      <c r="B121" s="3" t="e">
        <f t="shared" si="14"/>
        <v>#N/A</v>
      </c>
      <c r="C121" s="3" t="e">
        <f t="shared" si="15"/>
        <v>#N/A</v>
      </c>
      <c r="D121" s="3" t="e">
        <f t="shared" si="9"/>
        <v>#N/A</v>
      </c>
      <c r="E121" s="3" t="e">
        <f t="shared" si="10"/>
        <v>#N/A</v>
      </c>
      <c r="L121" s="1" t="s">
        <v>631</v>
      </c>
      <c r="M121" t="s">
        <v>1866</v>
      </c>
      <c r="N121" s="3">
        <v>0.4</v>
      </c>
      <c r="O121" s="1" t="s">
        <v>631</v>
      </c>
      <c r="P121" t="s">
        <v>1866</v>
      </c>
      <c r="Q121" s="3">
        <v>0.4</v>
      </c>
      <c r="R121" s="1" t="s">
        <v>631</v>
      </c>
      <c r="S121" t="s">
        <v>1866</v>
      </c>
      <c r="T121" s="3">
        <v>0.4</v>
      </c>
      <c r="U121" s="1" t="s">
        <v>631</v>
      </c>
      <c r="V121" t="s">
        <v>1866</v>
      </c>
      <c r="W121" s="3">
        <v>0.4</v>
      </c>
    </row>
    <row r="122" spans="1:23" x14ac:dyDescent="0.3">
      <c r="A122" s="6" t="e">
        <f t="shared" si="11"/>
        <v>#N/A</v>
      </c>
      <c r="B122" s="3" t="e">
        <f t="shared" si="14"/>
        <v>#N/A</v>
      </c>
      <c r="C122" s="3" t="e">
        <f t="shared" si="15"/>
        <v>#N/A</v>
      </c>
      <c r="D122" s="3" t="e">
        <f t="shared" si="9"/>
        <v>#N/A</v>
      </c>
      <c r="E122" s="3" t="e">
        <f t="shared" si="10"/>
        <v>#N/A</v>
      </c>
      <c r="L122" s="1" t="s">
        <v>631</v>
      </c>
      <c r="M122" t="s">
        <v>1867</v>
      </c>
      <c r="N122" s="3">
        <v>0.4</v>
      </c>
      <c r="O122" s="1" t="s">
        <v>631</v>
      </c>
      <c r="P122" t="s">
        <v>1867</v>
      </c>
      <c r="Q122" s="3">
        <v>0.4</v>
      </c>
      <c r="R122" s="1" t="s">
        <v>631</v>
      </c>
      <c r="S122" t="s">
        <v>1867</v>
      </c>
      <c r="T122" s="3">
        <v>0.4</v>
      </c>
      <c r="U122" s="1" t="s">
        <v>631</v>
      </c>
      <c r="V122" t="s">
        <v>1867</v>
      </c>
      <c r="W122" s="3">
        <v>0.4</v>
      </c>
    </row>
    <row r="123" spans="1:23" x14ac:dyDescent="0.3">
      <c r="A123" s="6" t="e">
        <f t="shared" si="11"/>
        <v>#N/A</v>
      </c>
      <c r="B123" s="3" t="e">
        <f t="shared" si="14"/>
        <v>#N/A</v>
      </c>
      <c r="C123" s="3" t="e">
        <f t="shared" si="15"/>
        <v>#N/A</v>
      </c>
      <c r="D123" s="3" t="e">
        <f t="shared" si="9"/>
        <v>#N/A</v>
      </c>
      <c r="E123" s="3" t="e">
        <f t="shared" si="10"/>
        <v>#N/A</v>
      </c>
      <c r="L123" s="1" t="s">
        <v>631</v>
      </c>
      <c r="M123" t="s">
        <v>1868</v>
      </c>
      <c r="N123" s="3">
        <v>0.4</v>
      </c>
      <c r="O123" s="1" t="s">
        <v>631</v>
      </c>
      <c r="P123" t="s">
        <v>1868</v>
      </c>
      <c r="Q123" s="3">
        <v>0.4</v>
      </c>
      <c r="R123" s="1" t="s">
        <v>631</v>
      </c>
      <c r="S123" t="s">
        <v>1868</v>
      </c>
      <c r="T123" s="3">
        <v>0.4</v>
      </c>
      <c r="U123" s="1" t="s">
        <v>631</v>
      </c>
      <c r="V123" t="s">
        <v>1868</v>
      </c>
      <c r="W123" s="3">
        <v>0.4</v>
      </c>
    </row>
    <row r="124" spans="1:23" x14ac:dyDescent="0.3">
      <c r="A124" s="6" t="e">
        <f t="shared" si="11"/>
        <v>#N/A</v>
      </c>
      <c r="B124" s="3" t="e">
        <f t="shared" si="14"/>
        <v>#N/A</v>
      </c>
      <c r="C124" s="3" t="e">
        <f t="shared" si="15"/>
        <v>#N/A</v>
      </c>
      <c r="D124" s="3" t="e">
        <f t="shared" si="9"/>
        <v>#N/A</v>
      </c>
      <c r="E124" s="3" t="e">
        <f t="shared" si="10"/>
        <v>#N/A</v>
      </c>
      <c r="L124" s="1" t="s">
        <v>631</v>
      </c>
      <c r="M124" t="s">
        <v>1869</v>
      </c>
      <c r="N124" s="3">
        <v>0.4</v>
      </c>
      <c r="O124" s="1" t="s">
        <v>631</v>
      </c>
      <c r="P124" t="s">
        <v>1869</v>
      </c>
      <c r="Q124" s="3">
        <v>0.4</v>
      </c>
      <c r="R124" s="1" t="s">
        <v>631</v>
      </c>
      <c r="S124" t="s">
        <v>1869</v>
      </c>
      <c r="T124" s="3">
        <v>0.4</v>
      </c>
      <c r="U124" s="1" t="s">
        <v>631</v>
      </c>
      <c r="V124" t="s">
        <v>1869</v>
      </c>
      <c r="W124" s="3">
        <v>0.4</v>
      </c>
    </row>
    <row r="125" spans="1:23" x14ac:dyDescent="0.3">
      <c r="A125" s="6" t="e">
        <f t="shared" si="11"/>
        <v>#N/A</v>
      </c>
      <c r="B125" s="3" t="e">
        <f t="shared" si="14"/>
        <v>#N/A</v>
      </c>
      <c r="C125" s="3" t="e">
        <f t="shared" si="15"/>
        <v>#N/A</v>
      </c>
      <c r="D125" s="3" t="e">
        <f t="shared" si="9"/>
        <v>#N/A</v>
      </c>
      <c r="E125" s="3" t="e">
        <f t="shared" si="10"/>
        <v>#N/A</v>
      </c>
      <c r="L125" s="1" t="s">
        <v>631</v>
      </c>
      <c r="M125" t="s">
        <v>1870</v>
      </c>
      <c r="N125" s="3">
        <v>0.5</v>
      </c>
      <c r="O125" s="1" t="s">
        <v>631</v>
      </c>
      <c r="P125" t="s">
        <v>1870</v>
      </c>
      <c r="Q125" s="3">
        <v>0.5</v>
      </c>
      <c r="R125" s="1" t="s">
        <v>631</v>
      </c>
      <c r="S125" t="s">
        <v>1870</v>
      </c>
      <c r="T125" s="3">
        <v>0.5</v>
      </c>
      <c r="U125" s="1" t="s">
        <v>631</v>
      </c>
      <c r="V125" t="s">
        <v>1870</v>
      </c>
      <c r="W125" s="3">
        <v>0.5</v>
      </c>
    </row>
    <row r="126" spans="1:23" x14ac:dyDescent="0.3">
      <c r="A126" s="6" t="e">
        <f t="shared" si="11"/>
        <v>#N/A</v>
      </c>
      <c r="B126" s="3" t="e">
        <f t="shared" si="14"/>
        <v>#N/A</v>
      </c>
      <c r="C126" s="3" t="e">
        <f t="shared" si="15"/>
        <v>#N/A</v>
      </c>
      <c r="D126" s="3" t="e">
        <f t="shared" si="9"/>
        <v>#N/A</v>
      </c>
      <c r="E126" s="3" t="e">
        <f t="shared" si="10"/>
        <v>#N/A</v>
      </c>
      <c r="L126" s="1" t="s">
        <v>631</v>
      </c>
      <c r="M126" t="s">
        <v>1871</v>
      </c>
      <c r="N126" s="3">
        <v>0.5</v>
      </c>
      <c r="O126" s="1" t="s">
        <v>631</v>
      </c>
      <c r="P126" t="s">
        <v>1871</v>
      </c>
      <c r="Q126" s="3">
        <v>0.5</v>
      </c>
      <c r="R126" s="1" t="s">
        <v>631</v>
      </c>
      <c r="S126" t="s">
        <v>1871</v>
      </c>
      <c r="T126" s="3">
        <v>0.5</v>
      </c>
      <c r="U126" s="1" t="s">
        <v>631</v>
      </c>
      <c r="V126" t="s">
        <v>1871</v>
      </c>
      <c r="W126" s="3">
        <v>0.5</v>
      </c>
    </row>
    <row r="127" spans="1:23" x14ac:dyDescent="0.3">
      <c r="A127" s="6" t="e">
        <f t="shared" si="11"/>
        <v>#N/A</v>
      </c>
      <c r="B127" s="3" t="e">
        <f t="shared" si="14"/>
        <v>#N/A</v>
      </c>
      <c r="C127" s="3" t="e">
        <f t="shared" si="15"/>
        <v>#N/A</v>
      </c>
      <c r="D127" s="3" t="e">
        <f t="shared" si="9"/>
        <v>#N/A</v>
      </c>
      <c r="E127" s="3" t="e">
        <f t="shared" si="10"/>
        <v>#N/A</v>
      </c>
      <c r="L127" s="1" t="s">
        <v>631</v>
      </c>
      <c r="M127" t="s">
        <v>1872</v>
      </c>
      <c r="N127" s="3">
        <v>0.5</v>
      </c>
      <c r="O127" s="1" t="s">
        <v>631</v>
      </c>
      <c r="P127" t="s">
        <v>1872</v>
      </c>
      <c r="Q127" s="3">
        <v>0.5</v>
      </c>
      <c r="R127" s="1" t="s">
        <v>631</v>
      </c>
      <c r="S127" t="s">
        <v>1872</v>
      </c>
      <c r="T127" s="3">
        <v>0.5</v>
      </c>
      <c r="U127" s="1" t="s">
        <v>631</v>
      </c>
      <c r="V127" t="s">
        <v>1872</v>
      </c>
      <c r="W127" s="3">
        <v>0.5</v>
      </c>
    </row>
    <row r="128" spans="1:23" x14ac:dyDescent="0.3">
      <c r="A128" s="6" t="e">
        <f t="shared" si="11"/>
        <v>#N/A</v>
      </c>
      <c r="B128" s="3" t="e">
        <f t="shared" si="14"/>
        <v>#N/A</v>
      </c>
      <c r="C128" s="3" t="e">
        <f t="shared" si="15"/>
        <v>#N/A</v>
      </c>
      <c r="D128" s="3" t="e">
        <f t="shared" si="9"/>
        <v>#N/A</v>
      </c>
      <c r="E128" s="3" t="e">
        <f t="shared" si="10"/>
        <v>#N/A</v>
      </c>
      <c r="L128" s="1" t="s">
        <v>631</v>
      </c>
      <c r="M128" t="s">
        <v>1873</v>
      </c>
      <c r="N128" s="3">
        <v>0.65</v>
      </c>
      <c r="O128" s="1" t="s">
        <v>631</v>
      </c>
      <c r="P128" t="s">
        <v>1873</v>
      </c>
      <c r="Q128" s="3">
        <v>0.65</v>
      </c>
      <c r="R128" s="1" t="s">
        <v>631</v>
      </c>
      <c r="S128" t="s">
        <v>1873</v>
      </c>
      <c r="T128" s="3">
        <v>0.65</v>
      </c>
      <c r="U128" s="1" t="s">
        <v>631</v>
      </c>
      <c r="V128" t="s">
        <v>1873</v>
      </c>
      <c r="W128" s="3">
        <v>0.65</v>
      </c>
    </row>
    <row r="129" spans="1:23" x14ac:dyDescent="0.3">
      <c r="A129" s="6" t="e">
        <f t="shared" si="11"/>
        <v>#N/A</v>
      </c>
      <c r="B129" s="3" t="e">
        <f t="shared" si="14"/>
        <v>#N/A</v>
      </c>
      <c r="C129" s="3" t="e">
        <f t="shared" si="15"/>
        <v>#N/A</v>
      </c>
      <c r="D129" s="3" t="e">
        <f t="shared" si="9"/>
        <v>#N/A</v>
      </c>
      <c r="E129" s="3" t="e">
        <f t="shared" si="10"/>
        <v>#N/A</v>
      </c>
      <c r="L129" s="1" t="s">
        <v>631</v>
      </c>
      <c r="M129" t="s">
        <v>1874</v>
      </c>
      <c r="N129" s="3">
        <v>0.65</v>
      </c>
      <c r="O129" s="1" t="s">
        <v>631</v>
      </c>
      <c r="P129" t="s">
        <v>1874</v>
      </c>
      <c r="Q129" s="3">
        <v>0.65</v>
      </c>
      <c r="R129" s="1" t="s">
        <v>631</v>
      </c>
      <c r="S129" t="s">
        <v>1874</v>
      </c>
      <c r="T129" s="3">
        <v>0.65</v>
      </c>
      <c r="U129" s="1" t="s">
        <v>631</v>
      </c>
      <c r="V129" t="s">
        <v>1874</v>
      </c>
      <c r="W129" s="3">
        <v>0.65</v>
      </c>
    </row>
    <row r="130" spans="1:23" x14ac:dyDescent="0.3">
      <c r="A130" s="6" t="e">
        <f t="shared" si="11"/>
        <v>#N/A</v>
      </c>
      <c r="B130" s="3" t="e">
        <f t="shared" si="14"/>
        <v>#N/A</v>
      </c>
      <c r="C130" s="3" t="e">
        <f t="shared" si="15"/>
        <v>#N/A</v>
      </c>
      <c r="D130" s="3" t="e">
        <f t="shared" si="9"/>
        <v>#N/A</v>
      </c>
      <c r="E130" s="3" t="e">
        <f t="shared" si="10"/>
        <v>#N/A</v>
      </c>
      <c r="L130" s="1" t="s">
        <v>631</v>
      </c>
      <c r="M130" t="s">
        <v>1875</v>
      </c>
      <c r="N130" s="3">
        <v>0.65</v>
      </c>
      <c r="O130" s="1" t="s">
        <v>631</v>
      </c>
      <c r="P130" t="s">
        <v>1875</v>
      </c>
      <c r="Q130" s="3">
        <v>0.65</v>
      </c>
      <c r="R130" s="1" t="s">
        <v>631</v>
      </c>
      <c r="S130" t="s">
        <v>1875</v>
      </c>
      <c r="T130" s="3">
        <v>0.65</v>
      </c>
      <c r="U130" s="1" t="s">
        <v>631</v>
      </c>
      <c r="V130" t="s">
        <v>1875</v>
      </c>
      <c r="W130" s="3">
        <v>0.65</v>
      </c>
    </row>
    <row r="131" spans="1:23" x14ac:dyDescent="0.3">
      <c r="A131" s="6" t="e">
        <f t="shared" si="11"/>
        <v>#N/A</v>
      </c>
      <c r="B131" s="3" t="e">
        <f t="shared" si="14"/>
        <v>#N/A</v>
      </c>
      <c r="C131" s="3" t="e">
        <f t="shared" si="15"/>
        <v>#N/A</v>
      </c>
      <c r="D131" s="3" t="e">
        <f t="shared" si="9"/>
        <v>#N/A</v>
      </c>
      <c r="E131" s="3" t="e">
        <f t="shared" si="10"/>
        <v>#N/A</v>
      </c>
      <c r="L131" s="1" t="s">
        <v>631</v>
      </c>
      <c r="M131" t="s">
        <v>1876</v>
      </c>
      <c r="N131" s="3">
        <v>0.65</v>
      </c>
      <c r="O131" s="1" t="s">
        <v>631</v>
      </c>
      <c r="P131" t="s">
        <v>1876</v>
      </c>
      <c r="Q131" s="3">
        <v>0.65</v>
      </c>
      <c r="R131" s="1" t="s">
        <v>631</v>
      </c>
      <c r="S131" t="s">
        <v>1876</v>
      </c>
      <c r="T131" s="3">
        <v>0.65</v>
      </c>
      <c r="U131" s="1" t="s">
        <v>631</v>
      </c>
      <c r="V131" t="s">
        <v>1876</v>
      </c>
      <c r="W131" s="3">
        <v>0.65</v>
      </c>
    </row>
    <row r="132" spans="1:23" x14ac:dyDescent="0.3">
      <c r="A132" s="6" t="e">
        <f t="shared" si="11"/>
        <v>#N/A</v>
      </c>
      <c r="B132" s="3" t="e">
        <f t="shared" si="14"/>
        <v>#N/A</v>
      </c>
      <c r="C132" s="3" t="e">
        <f t="shared" si="15"/>
        <v>#N/A</v>
      </c>
      <c r="D132" s="3" t="e">
        <f t="shared" si="9"/>
        <v>#N/A</v>
      </c>
      <c r="E132" s="3" t="e">
        <f t="shared" si="10"/>
        <v>#N/A</v>
      </c>
      <c r="L132" s="1" t="s">
        <v>631</v>
      </c>
      <c r="M132" t="s">
        <v>1744</v>
      </c>
      <c r="N132" s="3">
        <v>0.75</v>
      </c>
      <c r="O132" s="1" t="s">
        <v>631</v>
      </c>
      <c r="P132" t="s">
        <v>1744</v>
      </c>
      <c r="Q132" s="3">
        <v>0.75</v>
      </c>
      <c r="R132" s="1" t="s">
        <v>631</v>
      </c>
      <c r="S132" t="s">
        <v>1744</v>
      </c>
      <c r="T132" s="3">
        <v>0.75</v>
      </c>
      <c r="U132" s="1" t="s">
        <v>631</v>
      </c>
      <c r="V132" t="s">
        <v>1744</v>
      </c>
      <c r="W132" s="3">
        <v>0.75</v>
      </c>
    </row>
    <row r="133" spans="1:23" x14ac:dyDescent="0.3">
      <c r="A133" s="6" t="e">
        <f t="shared" si="11"/>
        <v>#N/A</v>
      </c>
      <c r="B133" s="3" t="e">
        <f t="shared" si="14"/>
        <v>#N/A</v>
      </c>
      <c r="C133" s="3" t="e">
        <f t="shared" si="15"/>
        <v>#N/A</v>
      </c>
      <c r="D133" s="3" t="e">
        <f t="shared" ref="D133:D196" si="16">IF($D$1="Team",IF(AD132="","",AD132),"")</f>
        <v>#N/A</v>
      </c>
      <c r="E133" s="3" t="e">
        <f t="shared" ref="E133:E196" si="17">IF($D$1="Team",IF(AE132="","",AE132),"")</f>
        <v>#N/A</v>
      </c>
      <c r="L133" s="1" t="s">
        <v>631</v>
      </c>
      <c r="M133" t="s">
        <v>1877</v>
      </c>
      <c r="N133" s="3">
        <v>0.9</v>
      </c>
      <c r="O133" s="1" t="s">
        <v>631</v>
      </c>
      <c r="P133" t="s">
        <v>1877</v>
      </c>
      <c r="Q133" s="3">
        <v>0.9</v>
      </c>
      <c r="R133" s="1" t="s">
        <v>631</v>
      </c>
      <c r="S133" t="s">
        <v>1877</v>
      </c>
      <c r="T133" s="3">
        <v>0.9</v>
      </c>
      <c r="U133" s="1" t="s">
        <v>631</v>
      </c>
      <c r="V133" t="s">
        <v>1877</v>
      </c>
      <c r="W133" s="3">
        <v>0.9</v>
      </c>
    </row>
    <row r="134" spans="1:23" x14ac:dyDescent="0.3">
      <c r="A134" s="6" t="e">
        <f t="shared" si="11"/>
        <v>#N/A</v>
      </c>
      <c r="B134" s="3" t="e">
        <f t="shared" si="14"/>
        <v>#N/A</v>
      </c>
      <c r="C134" s="3" t="e">
        <f t="shared" si="15"/>
        <v>#N/A</v>
      </c>
      <c r="D134" s="3" t="e">
        <f t="shared" si="16"/>
        <v>#N/A</v>
      </c>
      <c r="E134" s="3" t="e">
        <f t="shared" si="17"/>
        <v>#N/A</v>
      </c>
      <c r="L134" s="1" t="s">
        <v>631</v>
      </c>
      <c r="M134" t="s">
        <v>1878</v>
      </c>
      <c r="N134" s="3">
        <v>0.9</v>
      </c>
      <c r="O134" s="1" t="s">
        <v>631</v>
      </c>
      <c r="P134" t="s">
        <v>1878</v>
      </c>
      <c r="Q134" s="3">
        <v>0.9</v>
      </c>
      <c r="R134" s="1" t="s">
        <v>631</v>
      </c>
      <c r="S134" t="s">
        <v>1878</v>
      </c>
      <c r="T134" s="3">
        <v>0.9</v>
      </c>
      <c r="U134" s="1" t="s">
        <v>631</v>
      </c>
      <c r="V134" t="s">
        <v>1878</v>
      </c>
      <c r="W134" s="3">
        <v>0.9</v>
      </c>
    </row>
    <row r="135" spans="1:23" x14ac:dyDescent="0.3">
      <c r="A135" s="6" t="e">
        <f t="shared" si="11"/>
        <v>#N/A</v>
      </c>
      <c r="B135" s="3" t="e">
        <f t="shared" si="14"/>
        <v>#N/A</v>
      </c>
      <c r="C135" s="3" t="e">
        <f t="shared" si="15"/>
        <v>#N/A</v>
      </c>
      <c r="D135" s="3" t="e">
        <f t="shared" si="16"/>
        <v>#N/A</v>
      </c>
      <c r="E135" s="3" t="e">
        <f t="shared" si="17"/>
        <v>#N/A</v>
      </c>
      <c r="L135" s="1" t="s">
        <v>631</v>
      </c>
      <c r="M135" t="s">
        <v>1745</v>
      </c>
      <c r="N135" s="3">
        <v>1</v>
      </c>
      <c r="O135" s="1" t="s">
        <v>631</v>
      </c>
      <c r="P135" t="s">
        <v>1745</v>
      </c>
      <c r="Q135" s="3">
        <v>1</v>
      </c>
      <c r="R135" s="1" t="s">
        <v>631</v>
      </c>
      <c r="S135" t="s">
        <v>1745</v>
      </c>
      <c r="T135" s="3">
        <v>1</v>
      </c>
      <c r="U135" s="1" t="s">
        <v>631</v>
      </c>
      <c r="V135" t="s">
        <v>1745</v>
      </c>
      <c r="W135" s="3">
        <v>1</v>
      </c>
    </row>
    <row r="136" spans="1:23" x14ac:dyDescent="0.3">
      <c r="A136" s="6" t="e">
        <f t="shared" si="11"/>
        <v>#N/A</v>
      </c>
      <c r="B136" s="3" t="e">
        <f t="shared" si="14"/>
        <v>#N/A</v>
      </c>
      <c r="C136" s="3" t="e">
        <f t="shared" si="15"/>
        <v>#N/A</v>
      </c>
      <c r="D136" s="3" t="e">
        <f t="shared" si="16"/>
        <v>#N/A</v>
      </c>
      <c r="E136" s="3" t="e">
        <f t="shared" si="17"/>
        <v>#N/A</v>
      </c>
      <c r="L136" s="1" t="s">
        <v>631</v>
      </c>
      <c r="M136" t="s">
        <v>1746</v>
      </c>
      <c r="N136" s="3">
        <v>1.3</v>
      </c>
      <c r="O136" s="1" t="s">
        <v>631</v>
      </c>
      <c r="P136" t="s">
        <v>1746</v>
      </c>
      <c r="Q136" s="3">
        <v>1.3</v>
      </c>
      <c r="R136" s="1" t="s">
        <v>631</v>
      </c>
      <c r="S136" t="s">
        <v>1746</v>
      </c>
      <c r="T136" s="3">
        <v>1.3</v>
      </c>
      <c r="U136" s="1" t="s">
        <v>631</v>
      </c>
      <c r="V136" t="s">
        <v>1746</v>
      </c>
      <c r="W136" s="3">
        <v>1.3</v>
      </c>
    </row>
    <row r="137" spans="1:23" x14ac:dyDescent="0.3">
      <c r="A137" s="6" t="e">
        <f t="shared" si="11"/>
        <v>#N/A</v>
      </c>
      <c r="B137" s="3" t="e">
        <f t="shared" ref="B137:B200" si="18">IF($B$1="Solo",IF(M136="","",M136),IF($B$1="Duet",IF(P136="","",P136),IF($B$1="Mixed",IF(S136="","",S136),IF(V136="","",V136))))</f>
        <v>#N/A</v>
      </c>
      <c r="C137" s="3" t="e">
        <f t="shared" ref="C137:C200" si="19">IF($B$1="Solo",IF(N136="","",N136),IF($B$1="Duet",IF(Q136="","",Q136),IF($B$1="Mixed",IF(T136="","",T136),IF(W136="","",W136))))</f>
        <v>#N/A</v>
      </c>
      <c r="D137" s="3" t="e">
        <f t="shared" si="16"/>
        <v>#N/A</v>
      </c>
      <c r="E137" s="3" t="e">
        <f t="shared" si="17"/>
        <v>#N/A</v>
      </c>
      <c r="O137" s="1" t="s">
        <v>632</v>
      </c>
      <c r="P137" t="s">
        <v>1747</v>
      </c>
      <c r="Q137" s="3">
        <v>0.1</v>
      </c>
      <c r="R137" s="1" t="s">
        <v>632</v>
      </c>
      <c r="S137" t="s">
        <v>1747</v>
      </c>
      <c r="T137" s="3">
        <v>0.1</v>
      </c>
      <c r="U137" s="1" t="s">
        <v>632</v>
      </c>
      <c r="V137" t="s">
        <v>1747</v>
      </c>
      <c r="W137" s="3">
        <v>0.1</v>
      </c>
    </row>
    <row r="138" spans="1:23" x14ac:dyDescent="0.3">
      <c r="A138" s="6" t="e">
        <f t="shared" si="11"/>
        <v>#N/A</v>
      </c>
      <c r="B138" s="3" t="e">
        <f t="shared" si="18"/>
        <v>#N/A</v>
      </c>
      <c r="C138" s="3" t="e">
        <f t="shared" si="19"/>
        <v>#N/A</v>
      </c>
      <c r="D138" s="3" t="e">
        <f t="shared" si="16"/>
        <v>#N/A</v>
      </c>
      <c r="E138" s="3" t="e">
        <f t="shared" si="17"/>
        <v>#N/A</v>
      </c>
      <c r="O138" s="1" t="s">
        <v>632</v>
      </c>
      <c r="P138" t="s">
        <v>1879</v>
      </c>
      <c r="Q138" s="3">
        <v>0.2</v>
      </c>
      <c r="R138" s="1" t="s">
        <v>632</v>
      </c>
      <c r="S138" t="s">
        <v>1879</v>
      </c>
      <c r="T138" s="3">
        <v>0.2</v>
      </c>
      <c r="U138" s="1" t="s">
        <v>632</v>
      </c>
      <c r="V138" t="s">
        <v>1748</v>
      </c>
      <c r="W138" s="3">
        <v>0.2</v>
      </c>
    </row>
    <row r="139" spans="1:23" x14ac:dyDescent="0.3">
      <c r="A139" s="6" t="e">
        <f t="shared" si="11"/>
        <v>#N/A</v>
      </c>
      <c r="B139" s="3" t="e">
        <f t="shared" si="18"/>
        <v>#N/A</v>
      </c>
      <c r="C139" s="3" t="e">
        <f t="shared" si="19"/>
        <v>#N/A</v>
      </c>
      <c r="D139" s="3" t="e">
        <f t="shared" si="16"/>
        <v>#N/A</v>
      </c>
      <c r="E139" s="3" t="e">
        <f t="shared" si="17"/>
        <v>#N/A</v>
      </c>
      <c r="O139" s="1" t="s">
        <v>632</v>
      </c>
      <c r="P139" t="s">
        <v>1880</v>
      </c>
      <c r="Q139" s="3">
        <v>0.2</v>
      </c>
      <c r="R139" s="1" t="s">
        <v>632</v>
      </c>
      <c r="S139" t="s">
        <v>1880</v>
      </c>
      <c r="T139" s="3">
        <v>0.2</v>
      </c>
      <c r="U139" s="1" t="s">
        <v>632</v>
      </c>
      <c r="V139" t="s">
        <v>1879</v>
      </c>
      <c r="W139" s="3">
        <v>0.2</v>
      </c>
    </row>
    <row r="140" spans="1:23" x14ac:dyDescent="0.3">
      <c r="A140" s="6" t="e">
        <f t="shared" si="11"/>
        <v>#N/A</v>
      </c>
      <c r="B140" s="3" t="e">
        <f t="shared" si="18"/>
        <v>#N/A</v>
      </c>
      <c r="C140" s="3" t="e">
        <f t="shared" si="19"/>
        <v>#N/A</v>
      </c>
      <c r="D140" s="3" t="e">
        <f t="shared" si="16"/>
        <v>#N/A</v>
      </c>
      <c r="E140" s="3" t="e">
        <f t="shared" si="17"/>
        <v>#N/A</v>
      </c>
      <c r="O140" s="1" t="s">
        <v>632</v>
      </c>
      <c r="P140" t="s">
        <v>1883</v>
      </c>
      <c r="Q140" s="3">
        <v>0.3</v>
      </c>
      <c r="R140" s="1" t="s">
        <v>632</v>
      </c>
      <c r="S140" t="s">
        <v>1883</v>
      </c>
      <c r="T140" s="3">
        <v>0.3</v>
      </c>
      <c r="U140" s="1" t="s">
        <v>632</v>
      </c>
      <c r="V140" t="s">
        <v>1881</v>
      </c>
      <c r="W140" s="3">
        <v>0.3</v>
      </c>
    </row>
    <row r="141" spans="1:23" x14ac:dyDescent="0.3">
      <c r="A141" s="6" t="e">
        <f t="shared" si="11"/>
        <v>#N/A</v>
      </c>
      <c r="B141" s="3" t="e">
        <f t="shared" si="18"/>
        <v>#N/A</v>
      </c>
      <c r="C141" s="3" t="e">
        <f t="shared" si="19"/>
        <v>#N/A</v>
      </c>
      <c r="D141" s="3" t="e">
        <f t="shared" si="16"/>
        <v>#N/A</v>
      </c>
      <c r="E141" s="3" t="e">
        <f t="shared" si="17"/>
        <v>#N/A</v>
      </c>
      <c r="O141" s="1" t="s">
        <v>632</v>
      </c>
      <c r="P141" t="s">
        <v>1884</v>
      </c>
      <c r="Q141" s="3">
        <v>0.3</v>
      </c>
      <c r="R141" s="1" t="s">
        <v>632</v>
      </c>
      <c r="S141" t="s">
        <v>1884</v>
      </c>
      <c r="T141" s="3">
        <v>0.3</v>
      </c>
      <c r="U141" s="1" t="s">
        <v>632</v>
      </c>
      <c r="V141" t="s">
        <v>1880</v>
      </c>
      <c r="W141" s="3">
        <v>0.2</v>
      </c>
    </row>
    <row r="142" spans="1:23" x14ac:dyDescent="0.3">
      <c r="A142" s="6" t="e">
        <f t="shared" si="11"/>
        <v>#N/A</v>
      </c>
      <c r="B142" s="3" t="e">
        <f t="shared" si="18"/>
        <v>#N/A</v>
      </c>
      <c r="C142" s="3" t="e">
        <f t="shared" si="19"/>
        <v>#N/A</v>
      </c>
      <c r="D142" s="3" t="e">
        <f t="shared" si="16"/>
        <v>#N/A</v>
      </c>
      <c r="E142" s="3" t="e">
        <f t="shared" si="17"/>
        <v>#N/A</v>
      </c>
      <c r="O142" s="1" t="s">
        <v>632</v>
      </c>
      <c r="P142" t="s">
        <v>1885</v>
      </c>
      <c r="Q142" s="3">
        <v>0.3</v>
      </c>
      <c r="R142" s="1" t="s">
        <v>632</v>
      </c>
      <c r="S142" t="s">
        <v>1885</v>
      </c>
      <c r="T142" s="3">
        <v>0.3</v>
      </c>
      <c r="U142" s="1" t="s">
        <v>632</v>
      </c>
      <c r="V142" t="s">
        <v>1882</v>
      </c>
      <c r="W142" s="3">
        <v>0.3</v>
      </c>
    </row>
    <row r="143" spans="1:23" x14ac:dyDescent="0.3">
      <c r="A143" s="6" t="e">
        <f t="shared" si="11"/>
        <v>#N/A</v>
      </c>
      <c r="B143" s="3" t="e">
        <f t="shared" si="18"/>
        <v>#N/A</v>
      </c>
      <c r="C143" s="3" t="e">
        <f t="shared" si="19"/>
        <v>#N/A</v>
      </c>
      <c r="D143" s="3" t="e">
        <f t="shared" si="16"/>
        <v>#N/A</v>
      </c>
      <c r="E143" s="3" t="e">
        <f t="shared" si="17"/>
        <v>#N/A</v>
      </c>
      <c r="O143" s="1" t="s">
        <v>632</v>
      </c>
      <c r="P143" t="s">
        <v>65</v>
      </c>
      <c r="Q143" s="3">
        <v>0.4</v>
      </c>
      <c r="R143" s="1" t="s">
        <v>632</v>
      </c>
      <c r="S143" t="s">
        <v>65</v>
      </c>
      <c r="T143" s="3">
        <v>0.4</v>
      </c>
      <c r="U143" s="1" t="s">
        <v>632</v>
      </c>
      <c r="V143" t="s">
        <v>1883</v>
      </c>
      <c r="W143" s="3">
        <v>0.3</v>
      </c>
    </row>
    <row r="144" spans="1:23" x14ac:dyDescent="0.3">
      <c r="A144" s="6" t="e">
        <f t="shared" si="11"/>
        <v>#N/A</v>
      </c>
      <c r="B144" s="3" t="e">
        <f t="shared" si="18"/>
        <v>#N/A</v>
      </c>
      <c r="C144" s="3" t="e">
        <f t="shared" si="19"/>
        <v>#N/A</v>
      </c>
      <c r="D144" s="3" t="e">
        <f t="shared" si="16"/>
        <v>#N/A</v>
      </c>
      <c r="E144" s="3" t="e">
        <f t="shared" si="17"/>
        <v>#N/A</v>
      </c>
      <c r="O144" s="1" t="s">
        <v>632</v>
      </c>
      <c r="P144" t="s">
        <v>66</v>
      </c>
      <c r="Q144" s="3">
        <v>0.5</v>
      </c>
      <c r="R144" s="1" t="s">
        <v>632</v>
      </c>
      <c r="S144" t="s">
        <v>66</v>
      </c>
      <c r="T144" s="3">
        <v>0.5</v>
      </c>
      <c r="U144" s="1" t="s">
        <v>632</v>
      </c>
      <c r="V144" t="s">
        <v>1886</v>
      </c>
      <c r="W144" s="3">
        <v>0.4</v>
      </c>
    </row>
    <row r="145" spans="1:23" x14ac:dyDescent="0.3">
      <c r="A145" s="6" t="e">
        <f t="shared" si="11"/>
        <v>#N/A</v>
      </c>
      <c r="B145" s="3" t="e">
        <f t="shared" si="18"/>
        <v>#N/A</v>
      </c>
      <c r="C145" s="3" t="e">
        <f t="shared" si="19"/>
        <v>#N/A</v>
      </c>
      <c r="D145" s="3" t="e">
        <f t="shared" si="16"/>
        <v>#N/A</v>
      </c>
      <c r="E145" s="3" t="e">
        <f t="shared" si="17"/>
        <v>#N/A</v>
      </c>
      <c r="O145" s="1" t="s">
        <v>632</v>
      </c>
      <c r="P145" t="s">
        <v>67</v>
      </c>
      <c r="Q145" s="3">
        <v>1</v>
      </c>
      <c r="R145" s="1" t="s">
        <v>632</v>
      </c>
      <c r="S145" t="s">
        <v>67</v>
      </c>
      <c r="T145" s="3">
        <v>1</v>
      </c>
      <c r="U145" s="1" t="s">
        <v>632</v>
      </c>
      <c r="V145" t="s">
        <v>1884</v>
      </c>
      <c r="W145" s="3">
        <v>0.3</v>
      </c>
    </row>
    <row r="146" spans="1:23" x14ac:dyDescent="0.3">
      <c r="A146" s="6" t="e">
        <f t="shared" si="11"/>
        <v>#N/A</v>
      </c>
      <c r="B146" s="3" t="e">
        <f t="shared" si="18"/>
        <v>#N/A</v>
      </c>
      <c r="C146" s="3" t="e">
        <f t="shared" si="19"/>
        <v>#N/A</v>
      </c>
      <c r="D146" s="3" t="e">
        <f t="shared" si="16"/>
        <v>#N/A</v>
      </c>
      <c r="E146" s="3" t="e">
        <f t="shared" si="17"/>
        <v>#N/A</v>
      </c>
      <c r="O146" s="1" t="s">
        <v>632</v>
      </c>
      <c r="P146" t="s">
        <v>1889</v>
      </c>
      <c r="Q146" s="3">
        <v>1.25</v>
      </c>
      <c r="R146" s="1" t="s">
        <v>632</v>
      </c>
      <c r="S146" t="s">
        <v>1889</v>
      </c>
      <c r="T146" s="3">
        <v>1.25</v>
      </c>
      <c r="U146" s="1" t="s">
        <v>632</v>
      </c>
      <c r="V146" t="s">
        <v>1887</v>
      </c>
      <c r="W146" s="3">
        <v>0.4</v>
      </c>
    </row>
    <row r="147" spans="1:23" x14ac:dyDescent="0.3">
      <c r="A147" s="6" t="e">
        <f t="shared" si="11"/>
        <v>#N/A</v>
      </c>
      <c r="B147" s="3" t="e">
        <f t="shared" si="18"/>
        <v>#N/A</v>
      </c>
      <c r="C147" s="3" t="e">
        <f t="shared" si="19"/>
        <v>#N/A</v>
      </c>
      <c r="D147" s="3" t="e">
        <f t="shared" si="16"/>
        <v>#N/A</v>
      </c>
      <c r="E147" s="3" t="e">
        <f t="shared" si="17"/>
        <v>#N/A</v>
      </c>
      <c r="O147" s="1" t="s">
        <v>632</v>
      </c>
      <c r="P147" t="s">
        <v>1890</v>
      </c>
      <c r="Q147" s="3">
        <v>1.25</v>
      </c>
      <c r="R147" s="1" t="s">
        <v>632</v>
      </c>
      <c r="S147" t="s">
        <v>1890</v>
      </c>
      <c r="T147" s="3">
        <v>1.25</v>
      </c>
      <c r="U147" s="1" t="s">
        <v>632</v>
      </c>
      <c r="V147" t="s">
        <v>1885</v>
      </c>
      <c r="W147" s="3">
        <v>0.3</v>
      </c>
    </row>
    <row r="148" spans="1:23" x14ac:dyDescent="0.3">
      <c r="A148" s="6" t="e">
        <f t="shared" si="11"/>
        <v>#N/A</v>
      </c>
      <c r="B148" s="3" t="e">
        <f t="shared" si="18"/>
        <v>#N/A</v>
      </c>
      <c r="C148" s="3" t="e">
        <f t="shared" si="19"/>
        <v>#N/A</v>
      </c>
      <c r="D148" s="3" t="e">
        <f t="shared" si="16"/>
        <v>#N/A</v>
      </c>
      <c r="E148" s="3" t="e">
        <f t="shared" si="17"/>
        <v>#N/A</v>
      </c>
      <c r="O148" s="1" t="s">
        <v>632</v>
      </c>
      <c r="P148" t="s">
        <v>1749</v>
      </c>
      <c r="Q148" s="3">
        <v>1.5</v>
      </c>
      <c r="R148" s="1" t="s">
        <v>632</v>
      </c>
      <c r="S148" t="s">
        <v>1749</v>
      </c>
      <c r="T148" s="3">
        <v>1.5</v>
      </c>
      <c r="U148" s="1" t="s">
        <v>632</v>
      </c>
      <c r="V148" t="s">
        <v>1888</v>
      </c>
      <c r="W148" s="3">
        <v>0.4</v>
      </c>
    </row>
    <row r="149" spans="1:23" x14ac:dyDescent="0.3">
      <c r="A149" s="6" t="e">
        <f t="shared" si="11"/>
        <v>#N/A</v>
      </c>
      <c r="B149" s="3" t="e">
        <f t="shared" si="18"/>
        <v>#N/A</v>
      </c>
      <c r="C149" s="3" t="e">
        <f t="shared" si="19"/>
        <v>#N/A</v>
      </c>
      <c r="D149" s="3" t="e">
        <f t="shared" si="16"/>
        <v>#N/A</v>
      </c>
      <c r="E149" s="3" t="e">
        <f t="shared" si="17"/>
        <v>#N/A</v>
      </c>
      <c r="O149" s="1" t="s">
        <v>1810</v>
      </c>
      <c r="P149" t="str">
        <f>CONCATENATE(P3,"*0,5")</f>
        <v>TB*0,5</v>
      </c>
      <c r="Q149" s="3">
        <f>Q3*0.5</f>
        <v>0.15</v>
      </c>
      <c r="R149" s="1" t="s">
        <v>1810</v>
      </c>
      <c r="S149" t="str">
        <f>CONCATENATE(S3,"*0,5")</f>
        <v>TB*0,5</v>
      </c>
      <c r="T149" s="3">
        <f>T3*0.5</f>
        <v>0.15</v>
      </c>
      <c r="U149" s="1" t="s">
        <v>632</v>
      </c>
      <c r="V149" t="s">
        <v>65</v>
      </c>
      <c r="W149" s="3">
        <v>0.4</v>
      </c>
    </row>
    <row r="150" spans="1:23" x14ac:dyDescent="0.3">
      <c r="A150" s="6" t="e">
        <f t="shared" si="11"/>
        <v>#N/A</v>
      </c>
      <c r="B150" s="3" t="e">
        <f t="shared" si="18"/>
        <v>#N/A</v>
      </c>
      <c r="C150" s="3" t="e">
        <f t="shared" si="19"/>
        <v>#N/A</v>
      </c>
      <c r="D150" s="3" t="e">
        <f t="shared" si="16"/>
        <v>#N/A</v>
      </c>
      <c r="E150" s="3" t="e">
        <f t="shared" si="17"/>
        <v>#N/A</v>
      </c>
      <c r="O150" s="1" t="s">
        <v>1810</v>
      </c>
      <c r="P150" t="str">
        <f t="shared" ref="P150:S213" si="20">CONCATENATE(P4,"*0,5")</f>
        <v>T1*0,5</v>
      </c>
      <c r="Q150" s="3">
        <f t="shared" ref="Q150:T213" si="21">Q4*0.5</f>
        <v>0.22500000000000001</v>
      </c>
      <c r="R150" s="1" t="s">
        <v>1810</v>
      </c>
      <c r="S150" t="str">
        <f t="shared" si="20"/>
        <v>T1*0,5</v>
      </c>
      <c r="T150" s="3">
        <f t="shared" si="21"/>
        <v>0.22500000000000001</v>
      </c>
      <c r="U150" s="1" t="s">
        <v>632</v>
      </c>
      <c r="V150" t="s">
        <v>634</v>
      </c>
      <c r="W150" s="3">
        <v>0.5</v>
      </c>
    </row>
    <row r="151" spans="1:23" x14ac:dyDescent="0.3">
      <c r="A151" s="6" t="e">
        <f t="shared" si="11"/>
        <v>#N/A</v>
      </c>
      <c r="B151" s="3" t="e">
        <f t="shared" si="18"/>
        <v>#N/A</v>
      </c>
      <c r="C151" s="3" t="e">
        <f t="shared" si="19"/>
        <v>#N/A</v>
      </c>
      <c r="D151" s="3" t="e">
        <f t="shared" si="16"/>
        <v>#N/A</v>
      </c>
      <c r="E151" s="3" t="e">
        <f t="shared" si="17"/>
        <v>#N/A</v>
      </c>
      <c r="O151" s="1" t="s">
        <v>1810</v>
      </c>
      <c r="P151" t="str">
        <f t="shared" si="20"/>
        <v>T2a*0,5</v>
      </c>
      <c r="Q151" s="3">
        <f t="shared" si="21"/>
        <v>0.25</v>
      </c>
      <c r="R151" s="1" t="s">
        <v>1810</v>
      </c>
      <c r="S151" t="str">
        <f t="shared" si="20"/>
        <v>T2a*0,5</v>
      </c>
      <c r="T151" s="3">
        <f t="shared" si="21"/>
        <v>0.25</v>
      </c>
      <c r="U151" s="1" t="s">
        <v>632</v>
      </c>
      <c r="V151" t="s">
        <v>66</v>
      </c>
      <c r="W151" s="3">
        <v>0.5</v>
      </c>
    </row>
    <row r="152" spans="1:23" x14ac:dyDescent="0.3">
      <c r="A152" s="6" t="e">
        <f t="shared" si="11"/>
        <v>#N/A</v>
      </c>
      <c r="B152" s="3" t="e">
        <f t="shared" si="18"/>
        <v>#N/A</v>
      </c>
      <c r="C152" s="3" t="e">
        <f t="shared" si="19"/>
        <v>#N/A</v>
      </c>
      <c r="D152" s="3" t="e">
        <f t="shared" si="16"/>
        <v>#N/A</v>
      </c>
      <c r="E152" s="3" t="e">
        <f t="shared" si="17"/>
        <v>#N/A</v>
      </c>
      <c r="O152" s="1" t="s">
        <v>1810</v>
      </c>
      <c r="P152" t="str">
        <f t="shared" si="20"/>
        <v>T2b*0,5</v>
      </c>
      <c r="Q152" s="3">
        <f t="shared" si="21"/>
        <v>0.25</v>
      </c>
      <c r="R152" s="1" t="s">
        <v>1810</v>
      </c>
      <c r="S152" t="str">
        <f t="shared" si="20"/>
        <v>T2b*0,5</v>
      </c>
      <c r="T152" s="3">
        <f t="shared" si="21"/>
        <v>0.25</v>
      </c>
      <c r="U152" s="1" t="s">
        <v>632</v>
      </c>
      <c r="V152" t="s">
        <v>635</v>
      </c>
      <c r="W152" s="3">
        <v>0.6</v>
      </c>
    </row>
    <row r="153" spans="1:23" x14ac:dyDescent="0.3">
      <c r="A153" s="6" t="e">
        <f t="shared" si="11"/>
        <v>#N/A</v>
      </c>
      <c r="B153" s="3" t="e">
        <f t="shared" si="18"/>
        <v>#N/A</v>
      </c>
      <c r="C153" s="3" t="e">
        <f t="shared" si="19"/>
        <v>#N/A</v>
      </c>
      <c r="D153" s="3" t="e">
        <f t="shared" si="16"/>
        <v>#N/A</v>
      </c>
      <c r="E153" s="3" t="e">
        <f t="shared" si="17"/>
        <v>#N/A</v>
      </c>
      <c r="O153" s="1" t="s">
        <v>1810</v>
      </c>
      <c r="P153" t="str">
        <f t="shared" si="20"/>
        <v>T3a*0,5</v>
      </c>
      <c r="Q153" s="3">
        <f t="shared" si="21"/>
        <v>0.32500000000000001</v>
      </c>
      <c r="R153" s="1" t="s">
        <v>1810</v>
      </c>
      <c r="S153" t="str">
        <f t="shared" si="20"/>
        <v>T3a*0,5</v>
      </c>
      <c r="T153" s="3">
        <f t="shared" si="21"/>
        <v>0.32500000000000001</v>
      </c>
      <c r="U153" s="1" t="s">
        <v>632</v>
      </c>
      <c r="V153" t="s">
        <v>67</v>
      </c>
      <c r="W153" s="3">
        <v>1</v>
      </c>
    </row>
    <row r="154" spans="1:23" x14ac:dyDescent="0.3">
      <c r="A154" s="6" t="e">
        <f t="shared" si="11"/>
        <v>#N/A</v>
      </c>
      <c r="B154" s="3" t="e">
        <f t="shared" si="18"/>
        <v>#N/A</v>
      </c>
      <c r="C154" s="3" t="e">
        <f t="shared" si="19"/>
        <v>#N/A</v>
      </c>
      <c r="D154" s="3" t="e">
        <f t="shared" si="16"/>
        <v>#N/A</v>
      </c>
      <c r="E154" s="3" t="e">
        <f t="shared" si="17"/>
        <v>#N/A</v>
      </c>
      <c r="O154" s="1" t="s">
        <v>1810</v>
      </c>
      <c r="P154" t="str">
        <f t="shared" si="20"/>
        <v>T3b*0,5</v>
      </c>
      <c r="Q154" s="3">
        <f t="shared" si="21"/>
        <v>0.32500000000000001</v>
      </c>
      <c r="R154" s="1" t="s">
        <v>1810</v>
      </c>
      <c r="S154" t="str">
        <f t="shared" si="20"/>
        <v>T3b*0,5</v>
      </c>
      <c r="T154" s="3">
        <f t="shared" si="21"/>
        <v>0.32500000000000001</v>
      </c>
      <c r="U154" s="1" t="s">
        <v>632</v>
      </c>
      <c r="V154" t="s">
        <v>636</v>
      </c>
      <c r="W154" s="3">
        <v>1.1000000000000001</v>
      </c>
    </row>
    <row r="155" spans="1:23" x14ac:dyDescent="0.3">
      <c r="A155" s="6" t="e">
        <f t="shared" si="11"/>
        <v>#N/A</v>
      </c>
      <c r="B155" s="3" t="e">
        <f t="shared" si="18"/>
        <v>#N/A</v>
      </c>
      <c r="C155" s="3" t="e">
        <f t="shared" si="19"/>
        <v>#N/A</v>
      </c>
      <c r="D155" s="3" t="e">
        <f t="shared" si="16"/>
        <v>#N/A</v>
      </c>
      <c r="E155" s="3" t="e">
        <f t="shared" si="17"/>
        <v>#N/A</v>
      </c>
      <c r="O155" s="1" t="s">
        <v>1810</v>
      </c>
      <c r="P155" t="str">
        <f t="shared" si="20"/>
        <v>T3c*0,5</v>
      </c>
      <c r="Q155" s="3">
        <f t="shared" si="21"/>
        <v>0.32500000000000001</v>
      </c>
      <c r="R155" s="1" t="s">
        <v>1810</v>
      </c>
      <c r="S155" t="str">
        <f t="shared" si="20"/>
        <v>T3c*0,5</v>
      </c>
      <c r="T155" s="3">
        <f t="shared" si="21"/>
        <v>0.32500000000000001</v>
      </c>
      <c r="U155" s="1" t="s">
        <v>632</v>
      </c>
      <c r="V155" t="s">
        <v>1889</v>
      </c>
      <c r="W155" s="3">
        <v>1.25</v>
      </c>
    </row>
    <row r="156" spans="1:23" x14ac:dyDescent="0.3">
      <c r="A156" s="6" t="e">
        <f t="shared" si="11"/>
        <v>#N/A</v>
      </c>
      <c r="B156" s="3" t="e">
        <f t="shared" si="18"/>
        <v>#N/A</v>
      </c>
      <c r="C156" s="3" t="e">
        <f t="shared" si="19"/>
        <v>#N/A</v>
      </c>
      <c r="D156" s="3" t="e">
        <f t="shared" si="16"/>
        <v>#N/A</v>
      </c>
      <c r="E156" s="3" t="e">
        <f t="shared" si="17"/>
        <v>#N/A</v>
      </c>
      <c r="O156" s="1" t="s">
        <v>1810</v>
      </c>
      <c r="P156" t="str">
        <f t="shared" si="20"/>
        <v>T3d*0,5</v>
      </c>
      <c r="Q156" s="3">
        <f t="shared" si="21"/>
        <v>0.32500000000000001</v>
      </c>
      <c r="R156" s="1" t="s">
        <v>1810</v>
      </c>
      <c r="S156" t="str">
        <f t="shared" si="20"/>
        <v>T3d*0,5</v>
      </c>
      <c r="T156" s="3">
        <f t="shared" si="21"/>
        <v>0.32500000000000001</v>
      </c>
      <c r="U156" s="1" t="s">
        <v>632</v>
      </c>
      <c r="V156" t="s">
        <v>1891</v>
      </c>
      <c r="W156" s="3">
        <v>1.35</v>
      </c>
    </row>
    <row r="157" spans="1:23" x14ac:dyDescent="0.3">
      <c r="A157" s="6" t="e">
        <f t="shared" si="11"/>
        <v>#N/A</v>
      </c>
      <c r="B157" s="3" t="e">
        <f t="shared" si="18"/>
        <v>#N/A</v>
      </c>
      <c r="C157" s="3" t="e">
        <f t="shared" si="19"/>
        <v>#N/A</v>
      </c>
      <c r="D157" s="3" t="e">
        <f t="shared" si="16"/>
        <v>#N/A</v>
      </c>
      <c r="E157" s="3" t="e">
        <f t="shared" si="17"/>
        <v>#N/A</v>
      </c>
      <c r="O157" s="1" t="s">
        <v>1810</v>
      </c>
      <c r="P157" t="str">
        <f t="shared" si="20"/>
        <v>T4a*0,5</v>
      </c>
      <c r="Q157" s="3">
        <f t="shared" si="21"/>
        <v>0.4</v>
      </c>
      <c r="R157" s="1" t="s">
        <v>1810</v>
      </c>
      <c r="S157" t="str">
        <f t="shared" si="20"/>
        <v>T4a*0,5</v>
      </c>
      <c r="T157" s="3">
        <f t="shared" si="21"/>
        <v>0.4</v>
      </c>
      <c r="U157" s="1" t="s">
        <v>632</v>
      </c>
      <c r="V157" t="s">
        <v>1890</v>
      </c>
      <c r="W157" s="3">
        <v>1.25</v>
      </c>
    </row>
    <row r="158" spans="1:23" x14ac:dyDescent="0.3">
      <c r="A158" s="6" t="e">
        <f t="shared" si="11"/>
        <v>#N/A</v>
      </c>
      <c r="B158" s="3" t="e">
        <f t="shared" si="18"/>
        <v>#N/A</v>
      </c>
      <c r="C158" s="3" t="e">
        <f t="shared" si="19"/>
        <v>#N/A</v>
      </c>
      <c r="D158" s="3" t="e">
        <f t="shared" si="16"/>
        <v>#N/A</v>
      </c>
      <c r="E158" s="3" t="e">
        <f t="shared" si="17"/>
        <v>#N/A</v>
      </c>
      <c r="O158" s="1" t="s">
        <v>1810</v>
      </c>
      <c r="P158" t="str">
        <f t="shared" si="20"/>
        <v>T4b*0,5</v>
      </c>
      <c r="Q158" s="3">
        <f t="shared" si="21"/>
        <v>0.4</v>
      </c>
      <c r="R158" s="1" t="s">
        <v>1810</v>
      </c>
      <c r="S158" t="str">
        <f t="shared" si="20"/>
        <v>T4b*0,5</v>
      </c>
      <c r="T158" s="3">
        <f t="shared" si="21"/>
        <v>0.4</v>
      </c>
      <c r="U158" s="1" t="s">
        <v>632</v>
      </c>
      <c r="V158" t="s">
        <v>1892</v>
      </c>
      <c r="W158" s="3">
        <v>1.35</v>
      </c>
    </row>
    <row r="159" spans="1:23" x14ac:dyDescent="0.3">
      <c r="A159" s="6" t="e">
        <f t="shared" si="11"/>
        <v>#N/A</v>
      </c>
      <c r="B159" s="3" t="e">
        <f t="shared" si="18"/>
        <v>#N/A</v>
      </c>
      <c r="C159" s="3" t="e">
        <f t="shared" si="19"/>
        <v>#N/A</v>
      </c>
      <c r="D159" s="3" t="e">
        <f t="shared" si="16"/>
        <v>#N/A</v>
      </c>
      <c r="E159" s="3" t="e">
        <f t="shared" si="17"/>
        <v>#N/A</v>
      </c>
      <c r="O159" s="1" t="s">
        <v>1810</v>
      </c>
      <c r="P159" t="str">
        <f t="shared" si="20"/>
        <v>T4c*0,5</v>
      </c>
      <c r="Q159" s="3">
        <f t="shared" si="21"/>
        <v>0.4</v>
      </c>
      <c r="R159" s="1" t="s">
        <v>1810</v>
      </c>
      <c r="S159" t="str">
        <f t="shared" si="20"/>
        <v>T4c*0,5</v>
      </c>
      <c r="T159" s="3">
        <f t="shared" si="21"/>
        <v>0.4</v>
      </c>
      <c r="U159" s="1" t="s">
        <v>632</v>
      </c>
      <c r="V159" t="s">
        <v>1749</v>
      </c>
      <c r="W159" s="3">
        <v>1.5</v>
      </c>
    </row>
    <row r="160" spans="1:23" x14ac:dyDescent="0.3">
      <c r="A160" s="6" t="e">
        <f t="shared" si="11"/>
        <v>#N/A</v>
      </c>
      <c r="B160" s="3" t="e">
        <f t="shared" si="18"/>
        <v>#N/A</v>
      </c>
      <c r="C160" s="3" t="e">
        <f t="shared" si="19"/>
        <v>#N/A</v>
      </c>
      <c r="D160" s="3" t="e">
        <f t="shared" si="16"/>
        <v>#N/A</v>
      </c>
      <c r="E160" s="3" t="e">
        <f t="shared" si="17"/>
        <v>#N/A</v>
      </c>
      <c r="O160" s="1" t="s">
        <v>1810</v>
      </c>
      <c r="P160" t="str">
        <f t="shared" si="20"/>
        <v>T4d*0,5</v>
      </c>
      <c r="Q160" s="3">
        <f t="shared" si="21"/>
        <v>0.4</v>
      </c>
      <c r="R160" s="1" t="s">
        <v>1810</v>
      </c>
      <c r="S160" t="str">
        <f t="shared" si="20"/>
        <v>T4d*0,5</v>
      </c>
      <c r="T160" s="3">
        <f t="shared" si="21"/>
        <v>0.4</v>
      </c>
      <c r="U160" s="1" t="s">
        <v>632</v>
      </c>
      <c r="V160" t="s">
        <v>1750</v>
      </c>
      <c r="W160" s="3">
        <v>1.6</v>
      </c>
    </row>
    <row r="161" spans="1:23" x14ac:dyDescent="0.3">
      <c r="A161" s="6" t="e">
        <f t="shared" si="11"/>
        <v>#N/A</v>
      </c>
      <c r="B161" s="3" t="e">
        <f t="shared" si="18"/>
        <v>#N/A</v>
      </c>
      <c r="C161" s="3" t="e">
        <f t="shared" si="19"/>
        <v>#N/A</v>
      </c>
      <c r="D161" s="3" t="e">
        <f t="shared" si="16"/>
        <v>#N/A</v>
      </c>
      <c r="E161" s="3" t="e">
        <f t="shared" si="17"/>
        <v>#N/A</v>
      </c>
      <c r="O161" s="1" t="s">
        <v>1810</v>
      </c>
      <c r="P161" t="str">
        <f t="shared" si="20"/>
        <v>T4e*0,5</v>
      </c>
      <c r="Q161" s="3">
        <f t="shared" si="21"/>
        <v>0.4</v>
      </c>
      <c r="R161" s="1" t="s">
        <v>1810</v>
      </c>
      <c r="S161" t="str">
        <f t="shared" si="20"/>
        <v>T4e*0,5</v>
      </c>
      <c r="T161" s="3">
        <f t="shared" si="21"/>
        <v>0.4</v>
      </c>
      <c r="U161" s="1" t="s">
        <v>1810</v>
      </c>
      <c r="V161" t="str">
        <f>CONCATENATE(V3,"*0,5")</f>
        <v>TB*0,5</v>
      </c>
      <c r="W161" s="3">
        <f>W3*0.5</f>
        <v>0.15</v>
      </c>
    </row>
    <row r="162" spans="1:23" x14ac:dyDescent="0.3">
      <c r="A162" s="6" t="e">
        <f t="shared" si="11"/>
        <v>#N/A</v>
      </c>
      <c r="B162" s="3" t="e">
        <f t="shared" si="18"/>
        <v>#N/A</v>
      </c>
      <c r="C162" s="3" t="e">
        <f t="shared" si="19"/>
        <v>#N/A</v>
      </c>
      <c r="D162" s="3" t="e">
        <f t="shared" si="16"/>
        <v>#N/A</v>
      </c>
      <c r="E162" s="3" t="e">
        <f t="shared" si="17"/>
        <v>#N/A</v>
      </c>
      <c r="O162" s="1" t="s">
        <v>1810</v>
      </c>
      <c r="P162" t="str">
        <f t="shared" si="20"/>
        <v>T5a*0,5</v>
      </c>
      <c r="Q162" s="3">
        <f t="shared" si="21"/>
        <v>0.45</v>
      </c>
      <c r="R162" s="1" t="s">
        <v>1810</v>
      </c>
      <c r="S162" t="str">
        <f t="shared" si="20"/>
        <v>T5a*0,5</v>
      </c>
      <c r="T162" s="3">
        <f t="shared" si="21"/>
        <v>0.45</v>
      </c>
      <c r="U162" s="1" t="s">
        <v>1810</v>
      </c>
      <c r="V162" t="str">
        <f t="shared" ref="V162:V225" si="22">CONCATENATE(V4,"*0,5")</f>
        <v>T1*0,5</v>
      </c>
      <c r="W162" s="3">
        <f t="shared" ref="W162:W225" si="23">W4*0.5</f>
        <v>0.22500000000000001</v>
      </c>
    </row>
    <row r="163" spans="1:23" x14ac:dyDescent="0.3">
      <c r="A163" s="6" t="e">
        <f t="shared" si="11"/>
        <v>#N/A</v>
      </c>
      <c r="B163" s="3" t="e">
        <f t="shared" si="18"/>
        <v>#N/A</v>
      </c>
      <c r="C163" s="3" t="e">
        <f t="shared" si="19"/>
        <v>#N/A</v>
      </c>
      <c r="D163" s="3" t="e">
        <f t="shared" si="16"/>
        <v>#N/A</v>
      </c>
      <c r="E163" s="3" t="e">
        <f t="shared" si="17"/>
        <v>#N/A</v>
      </c>
      <c r="O163" s="1" t="s">
        <v>1810</v>
      </c>
      <c r="P163" t="str">
        <f t="shared" si="20"/>
        <v>T5b*0,5</v>
      </c>
      <c r="Q163" s="3">
        <f t="shared" si="21"/>
        <v>0.45</v>
      </c>
      <c r="R163" s="1" t="s">
        <v>1810</v>
      </c>
      <c r="S163" t="str">
        <f t="shared" si="20"/>
        <v>T5b*0,5</v>
      </c>
      <c r="T163" s="3">
        <f t="shared" si="21"/>
        <v>0.45</v>
      </c>
      <c r="U163" s="1" t="s">
        <v>1810</v>
      </c>
      <c r="V163" t="str">
        <f t="shared" si="22"/>
        <v>T2a*0,5</v>
      </c>
      <c r="W163" s="3">
        <f t="shared" si="23"/>
        <v>0.25</v>
      </c>
    </row>
    <row r="164" spans="1:23" x14ac:dyDescent="0.3">
      <c r="A164" s="6" t="e">
        <f t="shared" ref="A164:A227" si="24">IF($B$1="Solo",IF(L163="","",L163),IF($B$1="Duet",IF(O163="","",O163),IF($B$1="Mixed",IF(R163="","",R163),IF(U163="","",U163))))</f>
        <v>#N/A</v>
      </c>
      <c r="B164" s="3" t="e">
        <f t="shared" si="18"/>
        <v>#N/A</v>
      </c>
      <c r="C164" s="3" t="e">
        <f t="shared" si="19"/>
        <v>#N/A</v>
      </c>
      <c r="D164" s="3" t="e">
        <f t="shared" si="16"/>
        <v>#N/A</v>
      </c>
      <c r="E164" s="3" t="e">
        <f t="shared" si="17"/>
        <v>#N/A</v>
      </c>
      <c r="O164" s="1" t="s">
        <v>1810</v>
      </c>
      <c r="P164" t="str">
        <f t="shared" si="20"/>
        <v>T5c*0,5</v>
      </c>
      <c r="Q164" s="3">
        <f t="shared" si="21"/>
        <v>0.45</v>
      </c>
      <c r="R164" s="1" t="s">
        <v>1810</v>
      </c>
      <c r="S164" t="str">
        <f t="shared" si="20"/>
        <v>T5c*0,5</v>
      </c>
      <c r="T164" s="3">
        <f t="shared" si="21"/>
        <v>0.45</v>
      </c>
      <c r="U164" s="1" t="s">
        <v>1810</v>
      </c>
      <c r="V164" t="str">
        <f t="shared" si="22"/>
        <v>T2b*0,5</v>
      </c>
      <c r="W164" s="3">
        <f t="shared" si="23"/>
        <v>0.25</v>
      </c>
    </row>
    <row r="165" spans="1:23" x14ac:dyDescent="0.3">
      <c r="A165" s="6" t="e">
        <f t="shared" si="24"/>
        <v>#N/A</v>
      </c>
      <c r="B165" s="3" t="e">
        <f t="shared" si="18"/>
        <v>#N/A</v>
      </c>
      <c r="C165" s="3" t="e">
        <f t="shared" si="19"/>
        <v>#N/A</v>
      </c>
      <c r="D165" s="3" t="e">
        <f t="shared" si="16"/>
        <v>#N/A</v>
      </c>
      <c r="E165" s="3" t="e">
        <f t="shared" si="17"/>
        <v>#N/A</v>
      </c>
      <c r="O165" s="1" t="s">
        <v>1810</v>
      </c>
      <c r="P165" t="str">
        <f t="shared" si="20"/>
        <v>T5d*0,5</v>
      </c>
      <c r="Q165" s="3">
        <f t="shared" si="21"/>
        <v>0.45</v>
      </c>
      <c r="R165" s="1" t="s">
        <v>1810</v>
      </c>
      <c r="S165" t="str">
        <f t="shared" si="20"/>
        <v>T5d*0,5</v>
      </c>
      <c r="T165" s="3">
        <f t="shared" si="21"/>
        <v>0.45</v>
      </c>
      <c r="U165" s="1" t="s">
        <v>1810</v>
      </c>
      <c r="V165" t="str">
        <f t="shared" si="22"/>
        <v>T3a*0,5</v>
      </c>
      <c r="W165" s="3">
        <f t="shared" si="23"/>
        <v>0.32500000000000001</v>
      </c>
    </row>
    <row r="166" spans="1:23" x14ac:dyDescent="0.3">
      <c r="A166" s="6" t="e">
        <f t="shared" si="24"/>
        <v>#N/A</v>
      </c>
      <c r="B166" s="3" t="e">
        <f t="shared" si="18"/>
        <v>#N/A</v>
      </c>
      <c r="C166" s="3" t="e">
        <f t="shared" si="19"/>
        <v>#N/A</v>
      </c>
      <c r="D166" s="3" t="e">
        <f t="shared" si="16"/>
        <v>#N/A</v>
      </c>
      <c r="E166" s="3" t="e">
        <f t="shared" si="17"/>
        <v>#N/A</v>
      </c>
      <c r="O166" s="1" t="s">
        <v>1810</v>
      </c>
      <c r="P166" t="str">
        <f t="shared" si="20"/>
        <v>T5e*0,5</v>
      </c>
      <c r="Q166" s="3">
        <f t="shared" si="21"/>
        <v>0.45</v>
      </c>
      <c r="R166" s="1" t="s">
        <v>1810</v>
      </c>
      <c r="S166" t="str">
        <f t="shared" si="20"/>
        <v>T5e*0,5</v>
      </c>
      <c r="T166" s="3">
        <f t="shared" si="21"/>
        <v>0.45</v>
      </c>
      <c r="U166" s="1" t="s">
        <v>1810</v>
      </c>
      <c r="V166" t="str">
        <f t="shared" si="22"/>
        <v>T3b*0,5</v>
      </c>
      <c r="W166" s="3">
        <f t="shared" si="23"/>
        <v>0.32500000000000001</v>
      </c>
    </row>
    <row r="167" spans="1:23" x14ac:dyDescent="0.3">
      <c r="A167" s="6" t="e">
        <f t="shared" si="24"/>
        <v>#N/A</v>
      </c>
      <c r="B167" s="3" t="e">
        <f t="shared" si="18"/>
        <v>#N/A</v>
      </c>
      <c r="C167" s="3" t="e">
        <f t="shared" si="19"/>
        <v>#N/A</v>
      </c>
      <c r="D167" s="3" t="e">
        <f t="shared" si="16"/>
        <v>#N/A</v>
      </c>
      <c r="E167" s="3" t="e">
        <f t="shared" si="17"/>
        <v>#N/A</v>
      </c>
      <c r="O167" s="1" t="s">
        <v>1810</v>
      </c>
      <c r="P167" t="str">
        <f t="shared" si="20"/>
        <v>T6a*0,5</v>
      </c>
      <c r="Q167" s="3">
        <f t="shared" si="21"/>
        <v>0.55000000000000004</v>
      </c>
      <c r="R167" s="1" t="s">
        <v>1810</v>
      </c>
      <c r="S167" t="str">
        <f t="shared" si="20"/>
        <v>T6a*0,5</v>
      </c>
      <c r="T167" s="3">
        <f t="shared" si="21"/>
        <v>0.55000000000000004</v>
      </c>
      <c r="U167" s="1" t="s">
        <v>1810</v>
      </c>
      <c r="V167" t="str">
        <f t="shared" si="22"/>
        <v>T3c*0,5</v>
      </c>
      <c r="W167" s="3">
        <f t="shared" si="23"/>
        <v>0.32500000000000001</v>
      </c>
    </row>
    <row r="168" spans="1:23" x14ac:dyDescent="0.3">
      <c r="A168" s="6" t="e">
        <f t="shared" si="24"/>
        <v>#N/A</v>
      </c>
      <c r="B168" s="3" t="e">
        <f t="shared" si="18"/>
        <v>#N/A</v>
      </c>
      <c r="C168" s="3" t="e">
        <f t="shared" si="19"/>
        <v>#N/A</v>
      </c>
      <c r="D168" s="3" t="e">
        <f t="shared" si="16"/>
        <v>#N/A</v>
      </c>
      <c r="E168" s="3" t="e">
        <f t="shared" si="17"/>
        <v>#N/A</v>
      </c>
      <c r="O168" s="1" t="s">
        <v>1810</v>
      </c>
      <c r="P168" t="str">
        <f t="shared" si="20"/>
        <v>T6b*0,5</v>
      </c>
      <c r="Q168" s="3">
        <f t="shared" si="21"/>
        <v>0.55000000000000004</v>
      </c>
      <c r="R168" s="1" t="s">
        <v>1810</v>
      </c>
      <c r="S168" t="str">
        <f t="shared" si="20"/>
        <v>T6b*0,5</v>
      </c>
      <c r="T168" s="3">
        <f t="shared" si="21"/>
        <v>0.55000000000000004</v>
      </c>
      <c r="U168" s="1" t="s">
        <v>1810</v>
      </c>
      <c r="V168" t="str">
        <f t="shared" si="22"/>
        <v>T3d*0,5</v>
      </c>
      <c r="W168" s="3">
        <f t="shared" si="23"/>
        <v>0.32500000000000001</v>
      </c>
    </row>
    <row r="169" spans="1:23" x14ac:dyDescent="0.3">
      <c r="A169" s="6" t="e">
        <f t="shared" si="24"/>
        <v>#N/A</v>
      </c>
      <c r="B169" s="3" t="e">
        <f t="shared" si="18"/>
        <v>#N/A</v>
      </c>
      <c r="C169" s="3" t="e">
        <f t="shared" si="19"/>
        <v>#N/A</v>
      </c>
      <c r="D169" s="3" t="e">
        <f t="shared" si="16"/>
        <v>#N/A</v>
      </c>
      <c r="E169" s="3" t="e">
        <f t="shared" si="17"/>
        <v>#N/A</v>
      </c>
      <c r="O169" s="1" t="s">
        <v>1810</v>
      </c>
      <c r="P169" t="str">
        <f t="shared" si="20"/>
        <v>T6c*0,5</v>
      </c>
      <c r="Q169" s="3">
        <f t="shared" si="21"/>
        <v>0.55000000000000004</v>
      </c>
      <c r="R169" s="1" t="s">
        <v>1810</v>
      </c>
      <c r="S169" t="str">
        <f t="shared" si="20"/>
        <v>T6c*0,5</v>
      </c>
      <c r="T169" s="3">
        <f t="shared" si="21"/>
        <v>0.55000000000000004</v>
      </c>
      <c r="U169" s="1" t="s">
        <v>1810</v>
      </c>
      <c r="V169" t="str">
        <f t="shared" si="22"/>
        <v>T4a*0,5</v>
      </c>
      <c r="W169" s="3">
        <f t="shared" si="23"/>
        <v>0.4</v>
      </c>
    </row>
    <row r="170" spans="1:23" x14ac:dyDescent="0.3">
      <c r="A170" s="6" t="e">
        <f t="shared" si="24"/>
        <v>#N/A</v>
      </c>
      <c r="B170" s="3" t="e">
        <f t="shared" si="18"/>
        <v>#N/A</v>
      </c>
      <c r="C170" s="3" t="e">
        <f t="shared" si="19"/>
        <v>#N/A</v>
      </c>
      <c r="D170" s="3" t="e">
        <f t="shared" si="16"/>
        <v>#N/A</v>
      </c>
      <c r="E170" s="3" t="e">
        <f t="shared" si="17"/>
        <v>#N/A</v>
      </c>
      <c r="O170" s="1" t="s">
        <v>1810</v>
      </c>
      <c r="P170" t="str">
        <f t="shared" si="20"/>
        <v>T7*0,5</v>
      </c>
      <c r="Q170" s="3">
        <f t="shared" si="21"/>
        <v>0.75</v>
      </c>
      <c r="R170" s="1" t="s">
        <v>1810</v>
      </c>
      <c r="S170" t="str">
        <f t="shared" si="20"/>
        <v>T7*0,5</v>
      </c>
      <c r="T170" s="3">
        <f t="shared" si="21"/>
        <v>0.75</v>
      </c>
      <c r="U170" s="1" t="s">
        <v>1810</v>
      </c>
      <c r="V170" t="str">
        <f t="shared" si="22"/>
        <v>T4b*0,5</v>
      </c>
      <c r="W170" s="3">
        <f t="shared" si="23"/>
        <v>0.4</v>
      </c>
    </row>
    <row r="171" spans="1:23" x14ac:dyDescent="0.3">
      <c r="A171" s="6" t="e">
        <f t="shared" si="24"/>
        <v>#N/A</v>
      </c>
      <c r="B171" s="3" t="e">
        <f t="shared" si="18"/>
        <v>#N/A</v>
      </c>
      <c r="C171" s="3" t="e">
        <f t="shared" si="19"/>
        <v>#N/A</v>
      </c>
      <c r="D171" s="3" t="e">
        <f t="shared" si="16"/>
        <v>#N/A</v>
      </c>
      <c r="E171" s="3" t="e">
        <f t="shared" si="17"/>
        <v>#N/A</v>
      </c>
      <c r="O171" s="1" t="s">
        <v>1810</v>
      </c>
      <c r="P171" t="str">
        <f t="shared" si="20"/>
        <v>T8*0,5</v>
      </c>
      <c r="Q171" s="3">
        <f t="shared" si="21"/>
        <v>0.85</v>
      </c>
      <c r="R171" s="1" t="s">
        <v>1810</v>
      </c>
      <c r="S171" t="str">
        <f t="shared" si="20"/>
        <v>T8*0,5</v>
      </c>
      <c r="T171" s="3">
        <f t="shared" si="21"/>
        <v>0.85</v>
      </c>
      <c r="U171" s="1" t="s">
        <v>1810</v>
      </c>
      <c r="V171" t="str">
        <f t="shared" si="22"/>
        <v>T4c*0,5</v>
      </c>
      <c r="W171" s="3">
        <f t="shared" si="23"/>
        <v>0.4</v>
      </c>
    </row>
    <row r="172" spans="1:23" x14ac:dyDescent="0.3">
      <c r="A172" s="6" t="e">
        <f t="shared" si="24"/>
        <v>#N/A</v>
      </c>
      <c r="B172" s="3" t="e">
        <f t="shared" si="18"/>
        <v>#N/A</v>
      </c>
      <c r="C172" s="3" t="e">
        <f t="shared" si="19"/>
        <v>#N/A</v>
      </c>
      <c r="D172" s="3" t="e">
        <f t="shared" si="16"/>
        <v>#N/A</v>
      </c>
      <c r="E172" s="3" t="e">
        <f t="shared" si="17"/>
        <v>#N/A</v>
      </c>
      <c r="O172" s="1" t="s">
        <v>1810</v>
      </c>
      <c r="P172" t="str">
        <f t="shared" si="20"/>
        <v>T9a*0,5</v>
      </c>
      <c r="Q172" s="3">
        <f t="shared" si="21"/>
        <v>1</v>
      </c>
      <c r="R172" s="1" t="s">
        <v>1810</v>
      </c>
      <c r="S172" t="str">
        <f t="shared" si="20"/>
        <v>T9a*0,5</v>
      </c>
      <c r="T172" s="3">
        <f t="shared" si="21"/>
        <v>1</v>
      </c>
      <c r="U172" s="1" t="s">
        <v>1810</v>
      </c>
      <c r="V172" t="str">
        <f t="shared" si="22"/>
        <v>T4d*0,5</v>
      </c>
      <c r="W172" s="3">
        <f t="shared" si="23"/>
        <v>0.4</v>
      </c>
    </row>
    <row r="173" spans="1:23" x14ac:dyDescent="0.3">
      <c r="A173" s="6" t="e">
        <f t="shared" si="24"/>
        <v>#N/A</v>
      </c>
      <c r="B173" s="3" t="e">
        <f t="shared" si="18"/>
        <v>#N/A</v>
      </c>
      <c r="C173" s="3" t="e">
        <f t="shared" si="19"/>
        <v>#N/A</v>
      </c>
      <c r="D173" s="3" t="e">
        <f t="shared" si="16"/>
        <v>#N/A</v>
      </c>
      <c r="E173" s="3" t="e">
        <f t="shared" si="17"/>
        <v>#N/A</v>
      </c>
      <c r="O173" s="1" t="s">
        <v>1810</v>
      </c>
      <c r="P173" t="str">
        <f t="shared" si="20"/>
        <v>T9b*0,5</v>
      </c>
      <c r="Q173" s="3">
        <f t="shared" si="21"/>
        <v>1</v>
      </c>
      <c r="R173" s="1" t="s">
        <v>1810</v>
      </c>
      <c r="S173" t="str">
        <f t="shared" si="20"/>
        <v>T9b*0,5</v>
      </c>
      <c r="T173" s="3">
        <f t="shared" si="21"/>
        <v>1</v>
      </c>
      <c r="U173" s="1" t="s">
        <v>1810</v>
      </c>
      <c r="V173" t="str">
        <f t="shared" si="22"/>
        <v>T4e*0,5</v>
      </c>
      <c r="W173" s="3">
        <f t="shared" si="23"/>
        <v>0.4</v>
      </c>
    </row>
    <row r="174" spans="1:23" x14ac:dyDescent="0.3">
      <c r="A174" s="6" t="e">
        <f t="shared" si="24"/>
        <v>#N/A</v>
      </c>
      <c r="B174" s="3" t="e">
        <f t="shared" si="18"/>
        <v>#N/A</v>
      </c>
      <c r="C174" s="3" t="e">
        <f t="shared" si="19"/>
        <v>#N/A</v>
      </c>
      <c r="D174" s="3" t="e">
        <f t="shared" si="16"/>
        <v>#N/A</v>
      </c>
      <c r="E174" s="3" t="e">
        <f t="shared" si="17"/>
        <v>#N/A</v>
      </c>
      <c r="O174" s="1" t="s">
        <v>1811</v>
      </c>
      <c r="P174" t="str">
        <f t="shared" si="20"/>
        <v>SB*0,5</v>
      </c>
      <c r="Q174" s="3">
        <f t="shared" si="21"/>
        <v>7.4999999999999997E-2</v>
      </c>
      <c r="R174" s="1" t="s">
        <v>1811</v>
      </c>
      <c r="S174" t="str">
        <f t="shared" si="20"/>
        <v>SB*0,5</v>
      </c>
      <c r="T174" s="3">
        <f t="shared" si="21"/>
        <v>7.4999999999999997E-2</v>
      </c>
      <c r="U174" s="1" t="s">
        <v>1810</v>
      </c>
      <c r="V174" t="str">
        <f t="shared" si="22"/>
        <v>T5a*0,5</v>
      </c>
      <c r="W174" s="3">
        <f t="shared" si="23"/>
        <v>0.45</v>
      </c>
    </row>
    <row r="175" spans="1:23" x14ac:dyDescent="0.3">
      <c r="A175" s="6" t="e">
        <f t="shared" si="24"/>
        <v>#N/A</v>
      </c>
      <c r="B175" s="3" t="e">
        <f t="shared" si="18"/>
        <v>#N/A</v>
      </c>
      <c r="C175" s="3" t="e">
        <f t="shared" si="19"/>
        <v>#N/A</v>
      </c>
      <c r="D175" s="3" t="e">
        <f t="shared" si="16"/>
        <v>#N/A</v>
      </c>
      <c r="E175" s="3" t="e">
        <f t="shared" si="17"/>
        <v>#N/A</v>
      </c>
      <c r="O175" s="1" t="s">
        <v>1811</v>
      </c>
      <c r="P175" t="str">
        <f t="shared" si="20"/>
        <v>SCB*0,5</v>
      </c>
      <c r="Q175" s="3">
        <f t="shared" si="21"/>
        <v>0.17499999999999999</v>
      </c>
      <c r="R175" s="1" t="s">
        <v>1811</v>
      </c>
      <c r="S175" t="str">
        <f t="shared" si="20"/>
        <v>SCB*0,5</v>
      </c>
      <c r="T175" s="3">
        <f t="shared" si="21"/>
        <v>0.17499999999999999</v>
      </c>
      <c r="U175" s="1" t="s">
        <v>1810</v>
      </c>
      <c r="V175" t="str">
        <f t="shared" si="22"/>
        <v>T5b*0,5</v>
      </c>
      <c r="W175" s="3">
        <f t="shared" si="23"/>
        <v>0.45</v>
      </c>
    </row>
    <row r="176" spans="1:23" x14ac:dyDescent="0.3">
      <c r="A176" s="6" t="e">
        <f t="shared" si="24"/>
        <v>#N/A</v>
      </c>
      <c r="B176" s="3" t="e">
        <f t="shared" si="18"/>
        <v>#N/A</v>
      </c>
      <c r="C176" s="3" t="e">
        <f t="shared" si="19"/>
        <v>#N/A</v>
      </c>
      <c r="D176" s="3" t="e">
        <f t="shared" si="16"/>
        <v>#N/A</v>
      </c>
      <c r="E176" s="3" t="e">
        <f t="shared" si="17"/>
        <v>#N/A</v>
      </c>
      <c r="O176" s="1" t="s">
        <v>1811</v>
      </c>
      <c r="P176" t="str">
        <f t="shared" si="20"/>
        <v>SCDB*0,5</v>
      </c>
      <c r="Q176" s="3">
        <f t="shared" si="21"/>
        <v>0.2</v>
      </c>
      <c r="R176" s="1" t="s">
        <v>1811</v>
      </c>
      <c r="S176" t="str">
        <f t="shared" si="20"/>
        <v>SCDB*0,5</v>
      </c>
      <c r="T176" s="3">
        <f t="shared" si="21"/>
        <v>0.2</v>
      </c>
      <c r="U176" s="1" t="s">
        <v>1810</v>
      </c>
      <c r="V176" t="str">
        <f t="shared" si="22"/>
        <v>T5c*0,5</v>
      </c>
      <c r="W176" s="3">
        <f t="shared" si="23"/>
        <v>0.45</v>
      </c>
    </row>
    <row r="177" spans="1:23" x14ac:dyDescent="0.3">
      <c r="A177" s="6" t="e">
        <f t="shared" si="24"/>
        <v>#N/A</v>
      </c>
      <c r="B177" s="3" t="e">
        <f t="shared" si="18"/>
        <v>#N/A</v>
      </c>
      <c r="C177" s="3" t="e">
        <f t="shared" si="19"/>
        <v>#N/A</v>
      </c>
      <c r="D177" s="3" t="e">
        <f t="shared" si="16"/>
        <v>#N/A</v>
      </c>
      <c r="E177" s="3" t="e">
        <f t="shared" si="17"/>
        <v>#N/A</v>
      </c>
      <c r="O177" s="1" t="s">
        <v>1811</v>
      </c>
      <c r="P177" t="str">
        <f t="shared" si="20"/>
        <v>S1*0,5</v>
      </c>
      <c r="Q177" s="3">
        <f t="shared" si="21"/>
        <v>0.17499999999999999</v>
      </c>
      <c r="R177" s="1" t="s">
        <v>1811</v>
      </c>
      <c r="S177" t="str">
        <f t="shared" si="20"/>
        <v>S1*0,5</v>
      </c>
      <c r="T177" s="3">
        <f t="shared" si="21"/>
        <v>0.17499999999999999</v>
      </c>
      <c r="U177" s="1" t="s">
        <v>1810</v>
      </c>
      <c r="V177" t="str">
        <f t="shared" si="22"/>
        <v>T5d*0,5</v>
      </c>
      <c r="W177" s="3">
        <f t="shared" si="23"/>
        <v>0.45</v>
      </c>
    </row>
    <row r="178" spans="1:23" x14ac:dyDescent="0.3">
      <c r="A178" s="6" t="e">
        <f t="shared" si="24"/>
        <v>#N/A</v>
      </c>
      <c r="B178" s="3" t="e">
        <f t="shared" si="18"/>
        <v>#N/A</v>
      </c>
      <c r="C178" s="3" t="e">
        <f t="shared" si="19"/>
        <v>#N/A</v>
      </c>
      <c r="D178" s="3" t="e">
        <f t="shared" si="16"/>
        <v>#N/A</v>
      </c>
      <c r="E178" s="3" t="e">
        <f t="shared" si="17"/>
        <v>#N/A</v>
      </c>
      <c r="O178" s="1" t="s">
        <v>1811</v>
      </c>
      <c r="P178" t="str">
        <f t="shared" si="20"/>
        <v>SC1*0,5</v>
      </c>
      <c r="Q178" s="3">
        <f t="shared" si="21"/>
        <v>0.4</v>
      </c>
      <c r="R178" s="1" t="s">
        <v>1811</v>
      </c>
      <c r="S178" t="str">
        <f t="shared" si="20"/>
        <v>SC1*0,5</v>
      </c>
      <c r="T178" s="3">
        <f t="shared" si="21"/>
        <v>0.4</v>
      </c>
      <c r="U178" s="1" t="s">
        <v>1810</v>
      </c>
      <c r="V178" t="str">
        <f t="shared" si="22"/>
        <v>T5e*0,5</v>
      </c>
      <c r="W178" s="3">
        <f t="shared" si="23"/>
        <v>0.45</v>
      </c>
    </row>
    <row r="179" spans="1:23" x14ac:dyDescent="0.3">
      <c r="A179" s="6" t="e">
        <f t="shared" si="24"/>
        <v>#N/A</v>
      </c>
      <c r="B179" s="3" t="e">
        <f t="shared" si="18"/>
        <v>#N/A</v>
      </c>
      <c r="C179" s="3" t="e">
        <f t="shared" si="19"/>
        <v>#N/A</v>
      </c>
      <c r="D179" s="3" t="e">
        <f t="shared" si="16"/>
        <v>#N/A</v>
      </c>
      <c r="E179" s="3" t="e">
        <f t="shared" si="17"/>
        <v>#N/A</v>
      </c>
      <c r="O179" s="1" t="s">
        <v>1811</v>
      </c>
      <c r="P179" t="str">
        <f t="shared" si="20"/>
        <v>SCD1*0,5</v>
      </c>
      <c r="Q179" s="3">
        <f t="shared" si="21"/>
        <v>0.42499999999999999</v>
      </c>
      <c r="R179" s="1" t="s">
        <v>1811</v>
      </c>
      <c r="S179" t="str">
        <f t="shared" si="20"/>
        <v>SCD1*0,5</v>
      </c>
      <c r="T179" s="3">
        <f t="shared" si="21"/>
        <v>0.42499999999999999</v>
      </c>
      <c r="U179" s="1" t="s">
        <v>1810</v>
      </c>
      <c r="V179" t="str">
        <f t="shared" si="22"/>
        <v>T6a*0,5</v>
      </c>
      <c r="W179" s="3">
        <f t="shared" si="23"/>
        <v>0.55000000000000004</v>
      </c>
    </row>
    <row r="180" spans="1:23" x14ac:dyDescent="0.3">
      <c r="A180" s="6" t="e">
        <f t="shared" si="24"/>
        <v>#N/A</v>
      </c>
      <c r="B180" s="3" t="e">
        <f t="shared" si="18"/>
        <v>#N/A</v>
      </c>
      <c r="C180" s="3" t="e">
        <f t="shared" si="19"/>
        <v>#N/A</v>
      </c>
      <c r="D180" s="3" t="e">
        <f t="shared" si="16"/>
        <v>#N/A</v>
      </c>
      <c r="E180" s="3" t="e">
        <f t="shared" si="17"/>
        <v>#N/A</v>
      </c>
      <c r="O180" s="1" t="s">
        <v>1811</v>
      </c>
      <c r="P180" t="str">
        <f t="shared" si="20"/>
        <v>S2*0,5</v>
      </c>
      <c r="Q180" s="3">
        <f t="shared" si="21"/>
        <v>0.375</v>
      </c>
      <c r="R180" s="1" t="s">
        <v>1811</v>
      </c>
      <c r="S180" t="str">
        <f t="shared" si="20"/>
        <v>S2*0,5</v>
      </c>
      <c r="T180" s="3">
        <f t="shared" si="21"/>
        <v>0.375</v>
      </c>
      <c r="U180" s="1" t="s">
        <v>1810</v>
      </c>
      <c r="V180" t="str">
        <f t="shared" si="22"/>
        <v>T6b*0,5</v>
      </c>
      <c r="W180" s="3">
        <f t="shared" si="23"/>
        <v>0.55000000000000004</v>
      </c>
    </row>
    <row r="181" spans="1:23" x14ac:dyDescent="0.3">
      <c r="A181" s="6" t="e">
        <f t="shared" si="24"/>
        <v>#N/A</v>
      </c>
      <c r="B181" s="3" t="e">
        <f t="shared" si="18"/>
        <v>#N/A</v>
      </c>
      <c r="C181" s="3" t="e">
        <f t="shared" si="19"/>
        <v>#N/A</v>
      </c>
      <c r="D181" s="3" t="e">
        <f t="shared" si="16"/>
        <v>#N/A</v>
      </c>
      <c r="E181" s="3" t="e">
        <f t="shared" si="17"/>
        <v>#N/A</v>
      </c>
      <c r="O181" s="1" t="s">
        <v>1811</v>
      </c>
      <c r="P181" t="str">
        <f t="shared" si="20"/>
        <v>SC2*0,5</v>
      </c>
      <c r="Q181" s="3">
        <f t="shared" si="21"/>
        <v>0.8</v>
      </c>
      <c r="R181" s="1" t="s">
        <v>1811</v>
      </c>
      <c r="S181" t="str">
        <f t="shared" si="20"/>
        <v>SC2*0,5</v>
      </c>
      <c r="T181" s="3">
        <f t="shared" si="21"/>
        <v>0.8</v>
      </c>
      <c r="U181" s="1" t="s">
        <v>1810</v>
      </c>
      <c r="V181" t="str">
        <f t="shared" si="22"/>
        <v>T6c*0,5</v>
      </c>
      <c r="W181" s="3">
        <f t="shared" si="23"/>
        <v>0.55000000000000004</v>
      </c>
    </row>
    <row r="182" spans="1:23" x14ac:dyDescent="0.3">
      <c r="A182" s="6" t="e">
        <f t="shared" si="24"/>
        <v>#N/A</v>
      </c>
      <c r="B182" s="3" t="e">
        <f t="shared" si="18"/>
        <v>#N/A</v>
      </c>
      <c r="C182" s="3" t="e">
        <f t="shared" si="19"/>
        <v>#N/A</v>
      </c>
      <c r="D182" s="3" t="e">
        <f t="shared" si="16"/>
        <v>#N/A</v>
      </c>
      <c r="E182" s="3" t="e">
        <f t="shared" si="17"/>
        <v>#N/A</v>
      </c>
      <c r="O182" s="1" t="s">
        <v>1811</v>
      </c>
      <c r="P182" t="str">
        <f t="shared" si="20"/>
        <v>SCD2*0,5</v>
      </c>
      <c r="Q182" s="3">
        <f t="shared" si="21"/>
        <v>0.82499999999999996</v>
      </c>
      <c r="R182" s="1" t="s">
        <v>1811</v>
      </c>
      <c r="S182" t="str">
        <f t="shared" si="20"/>
        <v>SCD2*0,5</v>
      </c>
      <c r="T182" s="3">
        <f t="shared" si="21"/>
        <v>0.82499999999999996</v>
      </c>
      <c r="U182" s="1" t="s">
        <v>1810</v>
      </c>
      <c r="V182" t="str">
        <f t="shared" si="22"/>
        <v>T7*0,5</v>
      </c>
      <c r="W182" s="3">
        <f t="shared" si="23"/>
        <v>0.75</v>
      </c>
    </row>
    <row r="183" spans="1:23" x14ac:dyDescent="0.3">
      <c r="A183" s="6" t="e">
        <f t="shared" si="24"/>
        <v>#N/A</v>
      </c>
      <c r="B183" s="3" t="e">
        <f t="shared" si="18"/>
        <v>#N/A</v>
      </c>
      <c r="C183" s="3" t="e">
        <f t="shared" si="19"/>
        <v>#N/A</v>
      </c>
      <c r="D183" s="3" t="e">
        <f t="shared" si="16"/>
        <v>#N/A</v>
      </c>
      <c r="E183" s="3" t="e">
        <f t="shared" si="17"/>
        <v>#N/A</v>
      </c>
      <c r="O183" s="1" t="s">
        <v>1811</v>
      </c>
      <c r="P183" t="str">
        <f t="shared" si="20"/>
        <v>S3*0,5</v>
      </c>
      <c r="Q183" s="3">
        <f t="shared" si="21"/>
        <v>0.57499999999999996</v>
      </c>
      <c r="R183" s="1" t="s">
        <v>1811</v>
      </c>
      <c r="S183" t="str">
        <f t="shared" si="20"/>
        <v>S3*0,5</v>
      </c>
      <c r="T183" s="3">
        <f t="shared" si="21"/>
        <v>0.57499999999999996</v>
      </c>
      <c r="U183" s="1" t="s">
        <v>1810</v>
      </c>
      <c r="V183" t="str">
        <f t="shared" si="22"/>
        <v>T8*0,5</v>
      </c>
      <c r="W183" s="3">
        <f t="shared" si="23"/>
        <v>0.85</v>
      </c>
    </row>
    <row r="184" spans="1:23" x14ac:dyDescent="0.3">
      <c r="A184" s="6" t="e">
        <f t="shared" si="24"/>
        <v>#N/A</v>
      </c>
      <c r="B184" s="3" t="e">
        <f t="shared" si="18"/>
        <v>#N/A</v>
      </c>
      <c r="C184" s="3" t="e">
        <f t="shared" si="19"/>
        <v>#N/A</v>
      </c>
      <c r="D184" s="3" t="e">
        <f t="shared" si="16"/>
        <v>#N/A</v>
      </c>
      <c r="E184" s="3" t="e">
        <f t="shared" si="17"/>
        <v>#N/A</v>
      </c>
      <c r="O184" s="1" t="s">
        <v>1811</v>
      </c>
      <c r="P184" t="str">
        <f t="shared" si="20"/>
        <v>SC3*0,5</v>
      </c>
      <c r="Q184" s="3">
        <f t="shared" si="21"/>
        <v>1.2</v>
      </c>
      <c r="R184" s="1" t="s">
        <v>1811</v>
      </c>
      <c r="S184" t="str">
        <f t="shared" si="20"/>
        <v>SC3*0,5</v>
      </c>
      <c r="T184" s="3">
        <f t="shared" si="21"/>
        <v>1.2</v>
      </c>
      <c r="U184" s="1" t="s">
        <v>1810</v>
      </c>
      <c r="V184" t="str">
        <f t="shared" si="22"/>
        <v>T9a*0,5</v>
      </c>
      <c r="W184" s="3">
        <f t="shared" si="23"/>
        <v>1</v>
      </c>
    </row>
    <row r="185" spans="1:23" x14ac:dyDescent="0.3">
      <c r="A185" s="6" t="e">
        <f t="shared" si="24"/>
        <v>#N/A</v>
      </c>
      <c r="B185" s="3" t="e">
        <f t="shared" si="18"/>
        <v>#N/A</v>
      </c>
      <c r="C185" s="3" t="e">
        <f t="shared" si="19"/>
        <v>#N/A</v>
      </c>
      <c r="D185" s="3" t="e">
        <f t="shared" si="16"/>
        <v>#N/A</v>
      </c>
      <c r="E185" s="3" t="e">
        <f t="shared" si="17"/>
        <v>#N/A</v>
      </c>
      <c r="O185" s="1" t="s">
        <v>1811</v>
      </c>
      <c r="P185" t="str">
        <f t="shared" si="20"/>
        <v>SCD3*0,5</v>
      </c>
      <c r="Q185" s="3">
        <f t="shared" si="21"/>
        <v>1.2250000000000001</v>
      </c>
      <c r="R185" s="1" t="s">
        <v>1811</v>
      </c>
      <c r="S185" t="str">
        <f t="shared" si="20"/>
        <v>SCD3*0,5</v>
      </c>
      <c r="T185" s="3">
        <f t="shared" si="21"/>
        <v>1.2250000000000001</v>
      </c>
      <c r="U185" s="1" t="s">
        <v>1810</v>
      </c>
      <c r="V185" t="str">
        <f t="shared" si="22"/>
        <v>T9b*0,5</v>
      </c>
      <c r="W185" s="3">
        <f t="shared" si="23"/>
        <v>1</v>
      </c>
    </row>
    <row r="186" spans="1:23" x14ac:dyDescent="0.3">
      <c r="A186" s="6" t="e">
        <f t="shared" si="24"/>
        <v>#N/A</v>
      </c>
      <c r="B186" s="3" t="e">
        <f t="shared" si="18"/>
        <v>#N/A</v>
      </c>
      <c r="C186" s="3" t="e">
        <f t="shared" si="19"/>
        <v>#N/A</v>
      </c>
      <c r="D186" s="3" t="e">
        <f t="shared" si="16"/>
        <v>#N/A</v>
      </c>
      <c r="E186" s="3" t="e">
        <f t="shared" si="17"/>
        <v>#N/A</v>
      </c>
      <c r="O186" s="1" t="s">
        <v>1811</v>
      </c>
      <c r="P186" t="str">
        <f t="shared" si="20"/>
        <v>S4*0,5</v>
      </c>
      <c r="Q186" s="3">
        <f t="shared" si="21"/>
        <v>0.77500000000000002</v>
      </c>
      <c r="R186" s="1" t="s">
        <v>1811</v>
      </c>
      <c r="S186" t="str">
        <f t="shared" si="20"/>
        <v>S4*0,5</v>
      </c>
      <c r="T186" s="3">
        <f t="shared" si="21"/>
        <v>0.77500000000000002</v>
      </c>
      <c r="U186" s="1" t="s">
        <v>1811</v>
      </c>
      <c r="V186" t="str">
        <f t="shared" si="22"/>
        <v>SB*0,5</v>
      </c>
      <c r="W186" s="3">
        <f t="shared" si="23"/>
        <v>7.4999999999999997E-2</v>
      </c>
    </row>
    <row r="187" spans="1:23" x14ac:dyDescent="0.3">
      <c r="A187" s="6" t="e">
        <f t="shared" si="24"/>
        <v>#N/A</v>
      </c>
      <c r="B187" s="3" t="e">
        <f t="shared" si="18"/>
        <v>#N/A</v>
      </c>
      <c r="C187" s="3" t="e">
        <f t="shared" si="19"/>
        <v>#N/A</v>
      </c>
      <c r="D187" s="3" t="e">
        <f t="shared" si="16"/>
        <v>#N/A</v>
      </c>
      <c r="E187" s="3" t="e">
        <f t="shared" si="17"/>
        <v>#N/A</v>
      </c>
      <c r="O187" s="1" t="s">
        <v>1811</v>
      </c>
      <c r="P187" t="str">
        <f t="shared" si="20"/>
        <v>SC4*0,5</v>
      </c>
      <c r="Q187" s="3">
        <f t="shared" si="21"/>
        <v>1.6</v>
      </c>
      <c r="R187" s="1" t="s">
        <v>1811</v>
      </c>
      <c r="S187" t="str">
        <f t="shared" si="20"/>
        <v>SC4*0,5</v>
      </c>
      <c r="T187" s="3">
        <f t="shared" si="21"/>
        <v>1.6</v>
      </c>
      <c r="U187" s="1" t="s">
        <v>1811</v>
      </c>
      <c r="V187" t="str">
        <f t="shared" si="22"/>
        <v>SCB*0,5</v>
      </c>
      <c r="W187" s="3">
        <f t="shared" si="23"/>
        <v>0.17499999999999999</v>
      </c>
    </row>
    <row r="188" spans="1:23" x14ac:dyDescent="0.3">
      <c r="A188" s="6" t="e">
        <f t="shared" si="24"/>
        <v>#N/A</v>
      </c>
      <c r="B188" s="3" t="e">
        <f t="shared" si="18"/>
        <v>#N/A</v>
      </c>
      <c r="C188" s="3" t="e">
        <f t="shared" si="19"/>
        <v>#N/A</v>
      </c>
      <c r="D188" s="3" t="e">
        <f t="shared" si="16"/>
        <v>#N/A</v>
      </c>
      <c r="E188" s="3" t="e">
        <f t="shared" si="17"/>
        <v>#N/A</v>
      </c>
      <c r="O188" s="1" t="s">
        <v>1811</v>
      </c>
      <c r="P188" t="str">
        <f t="shared" si="20"/>
        <v>SCD4*0,5</v>
      </c>
      <c r="Q188" s="3">
        <f t="shared" si="21"/>
        <v>1.625</v>
      </c>
      <c r="R188" s="1" t="s">
        <v>1811</v>
      </c>
      <c r="S188" t="str">
        <f t="shared" si="20"/>
        <v>SCD4*0,5</v>
      </c>
      <c r="T188" s="3">
        <f t="shared" si="21"/>
        <v>1.625</v>
      </c>
      <c r="U188" s="1" t="s">
        <v>1811</v>
      </c>
      <c r="V188" t="str">
        <f t="shared" si="22"/>
        <v>SCDB*0,5</v>
      </c>
      <c r="W188" s="3">
        <f t="shared" si="23"/>
        <v>0.2</v>
      </c>
    </row>
    <row r="189" spans="1:23" x14ac:dyDescent="0.3">
      <c r="A189" s="6" t="e">
        <f t="shared" si="24"/>
        <v>#N/A</v>
      </c>
      <c r="B189" s="3" t="e">
        <f t="shared" si="18"/>
        <v>#N/A</v>
      </c>
      <c r="C189" s="3" t="e">
        <f t="shared" si="19"/>
        <v>#N/A</v>
      </c>
      <c r="D189" s="3" t="e">
        <f t="shared" si="16"/>
        <v>#N/A</v>
      </c>
      <c r="E189" s="3" t="e">
        <f t="shared" si="17"/>
        <v>#N/A</v>
      </c>
      <c r="O189" s="1" t="s">
        <v>1811</v>
      </c>
      <c r="P189" t="str">
        <f t="shared" si="20"/>
        <v>S5*0,5</v>
      </c>
      <c r="Q189" s="3">
        <f t="shared" si="21"/>
        <v>0.97499999999999998</v>
      </c>
      <c r="R189" s="1" t="s">
        <v>1811</v>
      </c>
      <c r="S189" t="str">
        <f t="shared" si="20"/>
        <v>S5*0,5</v>
      </c>
      <c r="T189" s="3">
        <f t="shared" si="21"/>
        <v>0.97499999999999998</v>
      </c>
      <c r="U189" s="1" t="s">
        <v>1811</v>
      </c>
      <c r="V189" t="str">
        <f t="shared" si="22"/>
        <v>S1*0,5</v>
      </c>
      <c r="W189" s="3">
        <f t="shared" si="23"/>
        <v>0.17499999999999999</v>
      </c>
    </row>
    <row r="190" spans="1:23" x14ac:dyDescent="0.3">
      <c r="A190" s="6" t="e">
        <f t="shared" si="24"/>
        <v>#N/A</v>
      </c>
      <c r="B190" s="3" t="e">
        <f t="shared" si="18"/>
        <v>#N/A</v>
      </c>
      <c r="C190" s="3" t="e">
        <f t="shared" si="19"/>
        <v>#N/A</v>
      </c>
      <c r="D190" s="3" t="e">
        <f t="shared" si="16"/>
        <v>#N/A</v>
      </c>
      <c r="E190" s="3" t="e">
        <f t="shared" si="17"/>
        <v>#N/A</v>
      </c>
      <c r="O190" s="1" t="s">
        <v>1811</v>
      </c>
      <c r="P190" t="str">
        <f t="shared" si="20"/>
        <v>SC5*0,5</v>
      </c>
      <c r="Q190" s="3">
        <f t="shared" si="21"/>
        <v>2</v>
      </c>
      <c r="R190" s="1" t="s">
        <v>1811</v>
      </c>
      <c r="S190" t="str">
        <f t="shared" si="20"/>
        <v>SC5*0,5</v>
      </c>
      <c r="T190" s="3">
        <f t="shared" si="21"/>
        <v>2</v>
      </c>
      <c r="U190" s="1" t="s">
        <v>1811</v>
      </c>
      <c r="V190" t="str">
        <f t="shared" si="22"/>
        <v>SC1*0,5</v>
      </c>
      <c r="W190" s="3">
        <f t="shared" si="23"/>
        <v>0.4</v>
      </c>
    </row>
    <row r="191" spans="1:23" x14ac:dyDescent="0.3">
      <c r="A191" s="6" t="e">
        <f t="shared" si="24"/>
        <v>#N/A</v>
      </c>
      <c r="B191" s="3" t="e">
        <f t="shared" si="18"/>
        <v>#N/A</v>
      </c>
      <c r="C191" s="3" t="e">
        <f t="shared" si="19"/>
        <v>#N/A</v>
      </c>
      <c r="D191" s="3" t="e">
        <f t="shared" si="16"/>
        <v>#N/A</v>
      </c>
      <c r="E191" s="3" t="e">
        <f t="shared" si="17"/>
        <v>#N/A</v>
      </c>
      <c r="O191" s="1" t="s">
        <v>1811</v>
      </c>
      <c r="P191" t="str">
        <f t="shared" si="20"/>
        <v>SCD5*0,5</v>
      </c>
      <c r="Q191" s="3">
        <f t="shared" si="21"/>
        <v>2.0249999999999999</v>
      </c>
      <c r="R191" s="1" t="s">
        <v>1811</v>
      </c>
      <c r="S191" t="str">
        <f t="shared" si="20"/>
        <v>SCD5*0,5</v>
      </c>
      <c r="T191" s="3">
        <f t="shared" si="21"/>
        <v>2.0249999999999999</v>
      </c>
      <c r="U191" s="1" t="s">
        <v>1811</v>
      </c>
      <c r="V191" t="str">
        <f t="shared" si="22"/>
        <v>SCD1*0,5</v>
      </c>
      <c r="W191" s="3">
        <f t="shared" si="23"/>
        <v>0.42499999999999999</v>
      </c>
    </row>
    <row r="192" spans="1:23" x14ac:dyDescent="0.3">
      <c r="A192" s="6" t="e">
        <f t="shared" si="24"/>
        <v>#N/A</v>
      </c>
      <c r="B192" s="3" t="e">
        <f t="shared" si="18"/>
        <v>#N/A</v>
      </c>
      <c r="C192" s="3" t="e">
        <f t="shared" si="19"/>
        <v>#N/A</v>
      </c>
      <c r="D192" s="3" t="e">
        <f t="shared" si="16"/>
        <v>#N/A</v>
      </c>
      <c r="E192" s="3" t="e">
        <f t="shared" si="17"/>
        <v>#N/A</v>
      </c>
      <c r="O192" s="1" t="s">
        <v>1811</v>
      </c>
      <c r="P192" t="str">
        <f t="shared" si="20"/>
        <v>S6*0,5</v>
      </c>
      <c r="Q192" s="3">
        <f t="shared" si="21"/>
        <v>1.175</v>
      </c>
      <c r="R192" s="1" t="s">
        <v>1811</v>
      </c>
      <c r="S192" t="str">
        <f t="shared" si="20"/>
        <v>S6*0,5</v>
      </c>
      <c r="T192" s="3">
        <f t="shared" si="21"/>
        <v>1.175</v>
      </c>
      <c r="U192" s="1" t="s">
        <v>1811</v>
      </c>
      <c r="V192" t="str">
        <f t="shared" si="22"/>
        <v>S2*0,5</v>
      </c>
      <c r="W192" s="3">
        <f t="shared" si="23"/>
        <v>0.375</v>
      </c>
    </row>
    <row r="193" spans="1:23" x14ac:dyDescent="0.3">
      <c r="A193" s="6" t="e">
        <f t="shared" si="24"/>
        <v>#N/A</v>
      </c>
      <c r="B193" s="3" t="e">
        <f t="shared" si="18"/>
        <v>#N/A</v>
      </c>
      <c r="C193" s="3" t="e">
        <f t="shared" si="19"/>
        <v>#N/A</v>
      </c>
      <c r="D193" s="3" t="e">
        <f t="shared" si="16"/>
        <v>#N/A</v>
      </c>
      <c r="E193" s="3" t="e">
        <f t="shared" si="17"/>
        <v>#N/A</v>
      </c>
      <c r="O193" s="1" t="s">
        <v>1811</v>
      </c>
      <c r="P193" t="str">
        <f t="shared" si="20"/>
        <v>SC6*0,5</v>
      </c>
      <c r="Q193" s="3">
        <f t="shared" si="21"/>
        <v>2.4</v>
      </c>
      <c r="R193" s="1" t="s">
        <v>1811</v>
      </c>
      <c r="S193" t="str">
        <f t="shared" si="20"/>
        <v>SC6*0,5</v>
      </c>
      <c r="T193" s="3">
        <f t="shared" si="21"/>
        <v>2.4</v>
      </c>
      <c r="U193" s="1" t="s">
        <v>1811</v>
      </c>
      <c r="V193" t="str">
        <f t="shared" si="22"/>
        <v>SC2*0,5</v>
      </c>
      <c r="W193" s="3">
        <f t="shared" si="23"/>
        <v>0.8</v>
      </c>
    </row>
    <row r="194" spans="1:23" x14ac:dyDescent="0.3">
      <c r="A194" s="6" t="e">
        <f t="shared" si="24"/>
        <v>#N/A</v>
      </c>
      <c r="B194" s="3" t="e">
        <f t="shared" si="18"/>
        <v>#N/A</v>
      </c>
      <c r="C194" s="3" t="e">
        <f t="shared" si="19"/>
        <v>#N/A</v>
      </c>
      <c r="D194" s="3" t="e">
        <f t="shared" si="16"/>
        <v>#N/A</v>
      </c>
      <c r="E194" s="3" t="e">
        <f t="shared" si="17"/>
        <v>#N/A</v>
      </c>
      <c r="O194" s="1" t="s">
        <v>1811</v>
      </c>
      <c r="P194" t="str">
        <f t="shared" si="20"/>
        <v>SCD6*0,5</v>
      </c>
      <c r="Q194" s="3">
        <f t="shared" si="21"/>
        <v>2.4249999999999998</v>
      </c>
      <c r="R194" s="1" t="s">
        <v>1811</v>
      </c>
      <c r="S194" t="str">
        <f t="shared" si="20"/>
        <v>SCD6*0,5</v>
      </c>
      <c r="T194" s="3">
        <f t="shared" si="21"/>
        <v>2.4249999999999998</v>
      </c>
      <c r="U194" s="1" t="s">
        <v>1811</v>
      </c>
      <c r="V194" t="str">
        <f t="shared" si="22"/>
        <v>SCD2*0,5</v>
      </c>
      <c r="W194" s="3">
        <f t="shared" si="23"/>
        <v>0.82499999999999996</v>
      </c>
    </row>
    <row r="195" spans="1:23" x14ac:dyDescent="0.3">
      <c r="A195" s="6" t="e">
        <f t="shared" si="24"/>
        <v>#N/A</v>
      </c>
      <c r="B195" s="3" t="e">
        <f t="shared" si="18"/>
        <v>#N/A</v>
      </c>
      <c r="C195" s="3" t="e">
        <f t="shared" si="19"/>
        <v>#N/A</v>
      </c>
      <c r="D195" s="3" t="e">
        <f t="shared" si="16"/>
        <v>#N/A</v>
      </c>
      <c r="E195" s="3" t="e">
        <f t="shared" si="17"/>
        <v>#N/A</v>
      </c>
      <c r="O195" s="1" t="s">
        <v>1811</v>
      </c>
      <c r="P195" t="str">
        <f t="shared" si="20"/>
        <v>S7*0,5</v>
      </c>
      <c r="Q195" s="3">
        <f t="shared" si="21"/>
        <v>1.375</v>
      </c>
      <c r="R195" s="1" t="s">
        <v>1811</v>
      </c>
      <c r="S195" t="str">
        <f t="shared" si="20"/>
        <v>S7*0,5</v>
      </c>
      <c r="T195" s="3">
        <f t="shared" si="21"/>
        <v>1.375</v>
      </c>
      <c r="U195" s="1" t="s">
        <v>1811</v>
      </c>
      <c r="V195" t="str">
        <f t="shared" si="22"/>
        <v>S3*0,5</v>
      </c>
      <c r="W195" s="3">
        <f t="shared" si="23"/>
        <v>0.57499999999999996</v>
      </c>
    </row>
    <row r="196" spans="1:23" x14ac:dyDescent="0.3">
      <c r="A196" s="6" t="e">
        <f t="shared" si="24"/>
        <v>#N/A</v>
      </c>
      <c r="B196" s="3" t="e">
        <f t="shared" si="18"/>
        <v>#N/A</v>
      </c>
      <c r="C196" s="3" t="e">
        <f t="shared" si="19"/>
        <v>#N/A</v>
      </c>
      <c r="D196" s="3" t="e">
        <f t="shared" si="16"/>
        <v>#N/A</v>
      </c>
      <c r="E196" s="3" t="e">
        <f t="shared" si="17"/>
        <v>#N/A</v>
      </c>
      <c r="O196" s="1" t="s">
        <v>1811</v>
      </c>
      <c r="P196" t="str">
        <f t="shared" si="20"/>
        <v>S8*0,5</v>
      </c>
      <c r="Q196" s="3">
        <f t="shared" si="21"/>
        <v>1.575</v>
      </c>
      <c r="R196" s="1" t="s">
        <v>1811</v>
      </c>
      <c r="S196" t="str">
        <f t="shared" si="20"/>
        <v>S8*0,5</v>
      </c>
      <c r="T196" s="3">
        <f t="shared" si="21"/>
        <v>1.575</v>
      </c>
      <c r="U196" s="1" t="s">
        <v>1811</v>
      </c>
      <c r="V196" t="str">
        <f t="shared" si="22"/>
        <v>SC3*0,5</v>
      </c>
      <c r="W196" s="3">
        <f t="shared" si="23"/>
        <v>1.2</v>
      </c>
    </row>
    <row r="197" spans="1:23" x14ac:dyDescent="0.3">
      <c r="A197" s="6" t="e">
        <f t="shared" si="24"/>
        <v>#N/A</v>
      </c>
      <c r="B197" s="3" t="e">
        <f t="shared" si="18"/>
        <v>#N/A</v>
      </c>
      <c r="C197" s="3" t="e">
        <f t="shared" si="19"/>
        <v>#N/A</v>
      </c>
      <c r="D197" s="3" t="e">
        <f t="shared" ref="D197:D260" si="25">IF($D$1="Team",IF(AD196="","",AD196),"")</f>
        <v>#N/A</v>
      </c>
      <c r="E197" s="3" t="e">
        <f t="shared" ref="E197:E260" si="26">IF($D$1="Team",IF(AE196="","",AE196),"")</f>
        <v>#N/A</v>
      </c>
      <c r="O197" s="1" t="s">
        <v>1811</v>
      </c>
      <c r="P197" t="str">
        <f t="shared" si="20"/>
        <v>S9*0,5</v>
      </c>
      <c r="Q197" s="3">
        <f t="shared" si="21"/>
        <v>1.7749999999999999</v>
      </c>
      <c r="R197" s="1" t="s">
        <v>1811</v>
      </c>
      <c r="S197" t="str">
        <f t="shared" si="20"/>
        <v>S9*0,5</v>
      </c>
      <c r="T197" s="3">
        <f t="shared" si="21"/>
        <v>1.7749999999999999</v>
      </c>
      <c r="U197" s="1" t="s">
        <v>1811</v>
      </c>
      <c r="V197" t="str">
        <f t="shared" si="22"/>
        <v>SCD3*0,5</v>
      </c>
      <c r="W197" s="3">
        <f t="shared" si="23"/>
        <v>1.2250000000000001</v>
      </c>
    </row>
    <row r="198" spans="1:23" x14ac:dyDescent="0.3">
      <c r="A198" s="6" t="e">
        <f t="shared" si="24"/>
        <v>#N/A</v>
      </c>
      <c r="B198" s="3" t="e">
        <f t="shared" si="18"/>
        <v>#N/A</v>
      </c>
      <c r="C198" s="3" t="e">
        <f t="shared" si="19"/>
        <v>#N/A</v>
      </c>
      <c r="D198" s="3" t="e">
        <f t="shared" si="25"/>
        <v>#N/A</v>
      </c>
      <c r="E198" s="3" t="e">
        <f t="shared" si="26"/>
        <v>#N/A</v>
      </c>
      <c r="O198" s="1" t="s">
        <v>1811</v>
      </c>
      <c r="P198" t="str">
        <f t="shared" si="20"/>
        <v>S10*0,5</v>
      </c>
      <c r="Q198" s="3">
        <f t="shared" si="21"/>
        <v>1.9750000000000001</v>
      </c>
      <c r="R198" s="1" t="s">
        <v>1811</v>
      </c>
      <c r="S198" t="str">
        <f t="shared" si="20"/>
        <v>S10*0,5</v>
      </c>
      <c r="T198" s="3">
        <f t="shared" si="21"/>
        <v>1.9750000000000001</v>
      </c>
      <c r="U198" s="1" t="s">
        <v>1811</v>
      </c>
      <c r="V198" t="str">
        <f t="shared" si="22"/>
        <v>S4*0,5</v>
      </c>
      <c r="W198" s="3">
        <f t="shared" si="23"/>
        <v>0.77500000000000002</v>
      </c>
    </row>
    <row r="199" spans="1:23" x14ac:dyDescent="0.3">
      <c r="A199" s="6" t="e">
        <f t="shared" si="24"/>
        <v>#N/A</v>
      </c>
      <c r="B199" s="3" t="e">
        <f t="shared" si="18"/>
        <v>#N/A</v>
      </c>
      <c r="C199" s="3" t="e">
        <f t="shared" si="19"/>
        <v>#N/A</v>
      </c>
      <c r="D199" s="3" t="e">
        <f t="shared" si="25"/>
        <v>#N/A</v>
      </c>
      <c r="E199" s="3" t="e">
        <f t="shared" si="26"/>
        <v>#N/A</v>
      </c>
      <c r="O199" s="1" t="s">
        <v>1812</v>
      </c>
      <c r="P199" t="str">
        <f t="shared" si="20"/>
        <v>RB*0,5</v>
      </c>
      <c r="Q199" s="3">
        <f t="shared" si="21"/>
        <v>0.05</v>
      </c>
      <c r="R199" s="1" t="s">
        <v>1812</v>
      </c>
      <c r="S199" t="str">
        <f t="shared" si="20"/>
        <v>RB*0,5</v>
      </c>
      <c r="T199" s="3">
        <f t="shared" si="21"/>
        <v>0.05</v>
      </c>
      <c r="U199" s="1" t="s">
        <v>1811</v>
      </c>
      <c r="V199" t="str">
        <f t="shared" si="22"/>
        <v>SC4*0,5</v>
      </c>
      <c r="W199" s="3">
        <f t="shared" si="23"/>
        <v>1.6</v>
      </c>
    </row>
    <row r="200" spans="1:23" x14ac:dyDescent="0.3">
      <c r="A200" s="6" t="e">
        <f t="shared" si="24"/>
        <v>#N/A</v>
      </c>
      <c r="B200" s="3" t="e">
        <f t="shared" si="18"/>
        <v>#N/A</v>
      </c>
      <c r="C200" s="3" t="e">
        <f t="shared" si="19"/>
        <v>#N/A</v>
      </c>
      <c r="D200" s="3" t="e">
        <f t="shared" si="25"/>
        <v>#N/A</v>
      </c>
      <c r="E200" s="3" t="e">
        <f t="shared" si="26"/>
        <v>#N/A</v>
      </c>
      <c r="O200" s="1" t="s">
        <v>1812</v>
      </c>
      <c r="P200" t="str">
        <f t="shared" si="20"/>
        <v>1RB*0,5</v>
      </c>
      <c r="Q200" s="3">
        <f t="shared" si="21"/>
        <v>7.4999999999999997E-2</v>
      </c>
      <c r="R200" s="1" t="s">
        <v>1812</v>
      </c>
      <c r="S200" t="str">
        <f t="shared" si="20"/>
        <v>1RB*0,5</v>
      </c>
      <c r="T200" s="3">
        <f t="shared" si="21"/>
        <v>7.4999999999999997E-2</v>
      </c>
      <c r="U200" s="1" t="s">
        <v>1811</v>
      </c>
      <c r="V200" t="str">
        <f t="shared" si="22"/>
        <v>SCD4*0,5</v>
      </c>
      <c r="W200" s="3">
        <f t="shared" si="23"/>
        <v>1.625</v>
      </c>
    </row>
    <row r="201" spans="1:23" x14ac:dyDescent="0.3">
      <c r="A201" s="6" t="e">
        <f t="shared" si="24"/>
        <v>#N/A</v>
      </c>
      <c r="B201" s="3" t="e">
        <f t="shared" ref="B201:B264" si="27">IF($B$1="Solo",IF(M200="","",M200),IF($B$1="Duet",IF(P200="","",P200),IF($B$1="Mixed",IF(S200="","",S200),IF(V200="","",V200))))</f>
        <v>#N/A</v>
      </c>
      <c r="C201" s="3" t="e">
        <f t="shared" ref="C201:C264" si="28">IF($B$1="Solo",IF(N200="","",N200),IF($B$1="Duet",IF(Q200="","",Q200),IF($B$1="Mixed",IF(T200="","",T200),IF(W200="","",W200))))</f>
        <v>#N/A</v>
      </c>
      <c r="D201" s="3" t="e">
        <f t="shared" si="25"/>
        <v>#N/A</v>
      </c>
      <c r="E201" s="3" t="e">
        <f t="shared" si="26"/>
        <v>#N/A</v>
      </c>
      <c r="O201" s="1" t="s">
        <v>1812</v>
      </c>
      <c r="P201" t="str">
        <f t="shared" si="20"/>
        <v>2RB*0,5</v>
      </c>
      <c r="Q201" s="3">
        <f t="shared" si="21"/>
        <v>0.1</v>
      </c>
      <c r="R201" s="1" t="s">
        <v>1812</v>
      </c>
      <c r="S201" t="str">
        <f t="shared" si="20"/>
        <v>2RB*0,5</v>
      </c>
      <c r="T201" s="3">
        <f t="shared" si="21"/>
        <v>0.1</v>
      </c>
      <c r="U201" s="1" t="s">
        <v>1811</v>
      </c>
      <c r="V201" t="str">
        <f t="shared" si="22"/>
        <v>S5*0,5</v>
      </c>
      <c r="W201" s="3">
        <f t="shared" si="23"/>
        <v>0.97499999999999998</v>
      </c>
    </row>
    <row r="202" spans="1:23" x14ac:dyDescent="0.3">
      <c r="A202" s="6" t="e">
        <f t="shared" si="24"/>
        <v>#N/A</v>
      </c>
      <c r="B202" s="3" t="e">
        <f t="shared" si="27"/>
        <v>#N/A</v>
      </c>
      <c r="C202" s="3" t="e">
        <f t="shared" si="28"/>
        <v>#N/A</v>
      </c>
      <c r="D202" s="3" t="e">
        <f t="shared" si="25"/>
        <v>#N/A</v>
      </c>
      <c r="E202" s="3" t="e">
        <f t="shared" si="26"/>
        <v>#N/A</v>
      </c>
      <c r="O202" s="1" t="s">
        <v>1812</v>
      </c>
      <c r="P202" t="str">
        <f t="shared" si="20"/>
        <v>ROB*0,5</v>
      </c>
      <c r="Q202" s="3">
        <f t="shared" si="21"/>
        <v>0.125</v>
      </c>
      <c r="R202" s="1" t="s">
        <v>1812</v>
      </c>
      <c r="S202" t="str">
        <f t="shared" si="20"/>
        <v>ROB*0,5</v>
      </c>
      <c r="T202" s="3">
        <f t="shared" si="21"/>
        <v>0.125</v>
      </c>
      <c r="U202" s="1" t="s">
        <v>1811</v>
      </c>
      <c r="V202" t="str">
        <f t="shared" si="22"/>
        <v>SC5*0,5</v>
      </c>
      <c r="W202" s="3">
        <f t="shared" si="23"/>
        <v>2</v>
      </c>
    </row>
    <row r="203" spans="1:23" x14ac:dyDescent="0.3">
      <c r="A203" s="6" t="e">
        <f t="shared" si="24"/>
        <v>#N/A</v>
      </c>
      <c r="B203" s="3" t="e">
        <f t="shared" si="27"/>
        <v>#N/A</v>
      </c>
      <c r="C203" s="3" t="e">
        <f t="shared" si="28"/>
        <v>#N/A</v>
      </c>
      <c r="D203" s="3" t="e">
        <f t="shared" si="25"/>
        <v>#N/A</v>
      </c>
      <c r="E203" s="3" t="e">
        <f t="shared" si="26"/>
        <v>#N/A</v>
      </c>
      <c r="O203" s="1" t="s">
        <v>1812</v>
      </c>
      <c r="P203" t="str">
        <f t="shared" si="20"/>
        <v>RCB*0,5</v>
      </c>
      <c r="Q203" s="3">
        <f t="shared" si="21"/>
        <v>0.125</v>
      </c>
      <c r="R203" s="1" t="s">
        <v>1812</v>
      </c>
      <c r="S203" t="str">
        <f t="shared" si="20"/>
        <v>RCB*0,5</v>
      </c>
      <c r="T203" s="3">
        <f t="shared" si="21"/>
        <v>0.125</v>
      </c>
      <c r="U203" s="1" t="s">
        <v>1811</v>
      </c>
      <c r="V203" t="str">
        <f t="shared" si="22"/>
        <v>SCD5*0,5</v>
      </c>
      <c r="W203" s="3">
        <f t="shared" si="23"/>
        <v>2.0249999999999999</v>
      </c>
    </row>
    <row r="204" spans="1:23" x14ac:dyDescent="0.3">
      <c r="A204" s="6" t="e">
        <f t="shared" si="24"/>
        <v>#N/A</v>
      </c>
      <c r="B204" s="3" t="e">
        <f t="shared" si="27"/>
        <v>#N/A</v>
      </c>
      <c r="C204" s="3" t="e">
        <f t="shared" si="28"/>
        <v>#N/A</v>
      </c>
      <c r="D204" s="3" t="e">
        <f t="shared" si="25"/>
        <v>#N/A</v>
      </c>
      <c r="E204" s="3" t="e">
        <f t="shared" si="26"/>
        <v>#N/A</v>
      </c>
      <c r="O204" s="1" t="s">
        <v>1812</v>
      </c>
      <c r="P204" t="str">
        <f t="shared" si="20"/>
        <v>R1*0,5</v>
      </c>
      <c r="Q204" s="3">
        <f t="shared" si="21"/>
        <v>0.1</v>
      </c>
      <c r="R204" s="1" t="s">
        <v>1812</v>
      </c>
      <c r="S204" t="str">
        <f t="shared" si="20"/>
        <v>R1*0,5</v>
      </c>
      <c r="T204" s="3">
        <f t="shared" si="21"/>
        <v>0.1</v>
      </c>
      <c r="U204" s="1" t="s">
        <v>1811</v>
      </c>
      <c r="V204" t="str">
        <f t="shared" si="22"/>
        <v>S6*0,5</v>
      </c>
      <c r="W204" s="3">
        <f t="shared" si="23"/>
        <v>1.175</v>
      </c>
    </row>
    <row r="205" spans="1:23" x14ac:dyDescent="0.3">
      <c r="A205" s="6" t="e">
        <f t="shared" si="24"/>
        <v>#N/A</v>
      </c>
      <c r="B205" s="3" t="e">
        <f t="shared" si="27"/>
        <v>#N/A</v>
      </c>
      <c r="C205" s="3" t="e">
        <f t="shared" si="28"/>
        <v>#N/A</v>
      </c>
      <c r="D205" s="3" t="e">
        <f t="shared" si="25"/>
        <v>#N/A</v>
      </c>
      <c r="E205" s="3" t="e">
        <f t="shared" si="26"/>
        <v>#N/A</v>
      </c>
      <c r="O205" s="1" t="s">
        <v>1812</v>
      </c>
      <c r="P205" t="str">
        <f t="shared" si="20"/>
        <v>1R1*0,5</v>
      </c>
      <c r="Q205" s="3">
        <f t="shared" si="21"/>
        <v>0.17499999999999999</v>
      </c>
      <c r="R205" s="1" t="s">
        <v>1812</v>
      </c>
      <c r="S205" t="str">
        <f t="shared" si="20"/>
        <v>1R1*0,5</v>
      </c>
      <c r="T205" s="3">
        <f t="shared" si="21"/>
        <v>0.17499999999999999</v>
      </c>
      <c r="U205" s="1" t="s">
        <v>1811</v>
      </c>
      <c r="V205" t="str">
        <f t="shared" si="22"/>
        <v>SC6*0,5</v>
      </c>
      <c r="W205" s="3">
        <f t="shared" si="23"/>
        <v>2.4</v>
      </c>
    </row>
    <row r="206" spans="1:23" x14ac:dyDescent="0.3">
      <c r="A206" s="6" t="e">
        <f t="shared" si="24"/>
        <v>#N/A</v>
      </c>
      <c r="B206" s="3" t="e">
        <f t="shared" si="27"/>
        <v>#N/A</v>
      </c>
      <c r="C206" s="3" t="e">
        <f t="shared" si="28"/>
        <v>#N/A</v>
      </c>
      <c r="D206" s="3" t="e">
        <f t="shared" si="25"/>
        <v>#N/A</v>
      </c>
      <c r="E206" s="3" t="e">
        <f t="shared" si="26"/>
        <v>#N/A</v>
      </c>
      <c r="O206" s="1" t="s">
        <v>1812</v>
      </c>
      <c r="P206" t="str">
        <f t="shared" si="20"/>
        <v>2R1*0,5</v>
      </c>
      <c r="Q206" s="3">
        <f t="shared" si="21"/>
        <v>0.22500000000000001</v>
      </c>
      <c r="R206" s="1" t="s">
        <v>1812</v>
      </c>
      <c r="S206" t="str">
        <f t="shared" si="20"/>
        <v>2R1*0,5</v>
      </c>
      <c r="T206" s="3">
        <f t="shared" si="21"/>
        <v>0.22500000000000001</v>
      </c>
      <c r="U206" s="1" t="s">
        <v>1811</v>
      </c>
      <c r="V206" t="str">
        <f t="shared" si="22"/>
        <v>SCD6*0,5</v>
      </c>
      <c r="W206" s="3">
        <f t="shared" si="23"/>
        <v>2.4249999999999998</v>
      </c>
    </row>
    <row r="207" spans="1:23" x14ac:dyDescent="0.3">
      <c r="A207" s="6" t="e">
        <f t="shared" si="24"/>
        <v>#N/A</v>
      </c>
      <c r="B207" s="3" t="e">
        <f t="shared" si="27"/>
        <v>#N/A</v>
      </c>
      <c r="C207" s="3" t="e">
        <f t="shared" si="28"/>
        <v>#N/A</v>
      </c>
      <c r="D207" s="3" t="e">
        <f t="shared" si="25"/>
        <v>#N/A</v>
      </c>
      <c r="E207" s="3" t="e">
        <f t="shared" si="26"/>
        <v>#N/A</v>
      </c>
      <c r="O207" s="1" t="s">
        <v>1812</v>
      </c>
      <c r="P207" t="str">
        <f t="shared" si="20"/>
        <v>RD1*0,5</v>
      </c>
      <c r="Q207" s="3">
        <f t="shared" si="21"/>
        <v>0.25</v>
      </c>
      <c r="R207" s="1" t="s">
        <v>1812</v>
      </c>
      <c r="S207" t="str">
        <f t="shared" si="20"/>
        <v>RD1*0,5</v>
      </c>
      <c r="T207" s="3">
        <f t="shared" si="21"/>
        <v>0.25</v>
      </c>
      <c r="U207" s="1" t="s">
        <v>1811</v>
      </c>
      <c r="V207" t="str">
        <f t="shared" si="22"/>
        <v>S7*0,5</v>
      </c>
      <c r="W207" s="3">
        <f t="shared" si="23"/>
        <v>1.375</v>
      </c>
    </row>
    <row r="208" spans="1:23" x14ac:dyDescent="0.3">
      <c r="A208" s="6" t="e">
        <f t="shared" si="24"/>
        <v>#N/A</v>
      </c>
      <c r="B208" s="3" t="e">
        <f t="shared" si="27"/>
        <v>#N/A</v>
      </c>
      <c r="C208" s="3" t="e">
        <f t="shared" si="28"/>
        <v>#N/A</v>
      </c>
      <c r="D208" s="3" t="e">
        <f t="shared" si="25"/>
        <v>#N/A</v>
      </c>
      <c r="E208" s="3" t="e">
        <f t="shared" si="26"/>
        <v>#N/A</v>
      </c>
      <c r="O208" s="1" t="s">
        <v>1812</v>
      </c>
      <c r="P208" t="str">
        <f t="shared" si="20"/>
        <v>RU1*0,5</v>
      </c>
      <c r="Q208" s="3">
        <f t="shared" si="21"/>
        <v>0.27500000000000002</v>
      </c>
      <c r="R208" s="1" t="s">
        <v>1812</v>
      </c>
      <c r="S208" t="str">
        <f t="shared" si="20"/>
        <v>RU1*0,5</v>
      </c>
      <c r="T208" s="3">
        <f t="shared" si="21"/>
        <v>0.27500000000000002</v>
      </c>
      <c r="U208" s="1" t="s">
        <v>1811</v>
      </c>
      <c r="V208" t="str">
        <f t="shared" si="22"/>
        <v>S8*0,5</v>
      </c>
      <c r="W208" s="3">
        <f t="shared" si="23"/>
        <v>1.575</v>
      </c>
    </row>
    <row r="209" spans="1:23" x14ac:dyDescent="0.3">
      <c r="A209" s="6" t="e">
        <f t="shared" si="24"/>
        <v>#N/A</v>
      </c>
      <c r="B209" s="3" t="e">
        <f t="shared" si="27"/>
        <v>#N/A</v>
      </c>
      <c r="C209" s="3" t="e">
        <f t="shared" si="28"/>
        <v>#N/A</v>
      </c>
      <c r="D209" s="3" t="e">
        <f t="shared" si="25"/>
        <v>#N/A</v>
      </c>
      <c r="E209" s="3" t="e">
        <f t="shared" si="26"/>
        <v>#N/A</v>
      </c>
      <c r="O209" s="1" t="s">
        <v>1812</v>
      </c>
      <c r="P209" t="str">
        <f t="shared" si="20"/>
        <v>RO1*0,5</v>
      </c>
      <c r="Q209" s="3">
        <f t="shared" si="21"/>
        <v>0.27500000000000002</v>
      </c>
      <c r="R209" s="1" t="s">
        <v>1812</v>
      </c>
      <c r="S209" t="str">
        <f t="shared" si="20"/>
        <v>RO1*0,5</v>
      </c>
      <c r="T209" s="3">
        <f t="shared" si="21"/>
        <v>0.27500000000000002</v>
      </c>
      <c r="U209" s="1" t="s">
        <v>1811</v>
      </c>
      <c r="V209" t="str">
        <f t="shared" si="22"/>
        <v>S9*0,5</v>
      </c>
      <c r="W209" s="3">
        <f t="shared" si="23"/>
        <v>1.7749999999999999</v>
      </c>
    </row>
    <row r="210" spans="1:23" x14ac:dyDescent="0.3">
      <c r="A210" s="6" t="e">
        <f t="shared" si="24"/>
        <v>#N/A</v>
      </c>
      <c r="B210" s="3" t="e">
        <f t="shared" si="27"/>
        <v>#N/A</v>
      </c>
      <c r="C210" s="3" t="e">
        <f t="shared" si="28"/>
        <v>#N/A</v>
      </c>
      <c r="D210" s="3" t="e">
        <f t="shared" si="25"/>
        <v>#N/A</v>
      </c>
      <c r="E210" s="3" t="e">
        <f t="shared" si="26"/>
        <v>#N/A</v>
      </c>
      <c r="O210" s="1" t="s">
        <v>1812</v>
      </c>
      <c r="P210" t="str">
        <f t="shared" si="20"/>
        <v>RC1*0,5</v>
      </c>
      <c r="Q210" s="3">
        <f t="shared" si="21"/>
        <v>0.27500000000000002</v>
      </c>
      <c r="R210" s="1" t="s">
        <v>1812</v>
      </c>
      <c r="S210" t="str">
        <f t="shared" si="20"/>
        <v>RC1*0,5</v>
      </c>
      <c r="T210" s="3">
        <f t="shared" si="21"/>
        <v>0.27500000000000002</v>
      </c>
      <c r="U210" s="1" t="s">
        <v>1811</v>
      </c>
      <c r="V210" t="str">
        <f t="shared" si="22"/>
        <v>S10*0,5</v>
      </c>
      <c r="W210" s="3">
        <f t="shared" si="23"/>
        <v>1.9750000000000001</v>
      </c>
    </row>
    <row r="211" spans="1:23" x14ac:dyDescent="0.3">
      <c r="A211" s="6" t="e">
        <f t="shared" si="24"/>
        <v>#N/A</v>
      </c>
      <c r="B211" s="3" t="e">
        <f t="shared" si="27"/>
        <v>#N/A</v>
      </c>
      <c r="C211" s="3" t="e">
        <f t="shared" si="28"/>
        <v>#N/A</v>
      </c>
      <c r="D211" s="3" t="e">
        <f t="shared" si="25"/>
        <v>#N/A</v>
      </c>
      <c r="E211" s="3" t="e">
        <f t="shared" si="26"/>
        <v>#N/A</v>
      </c>
      <c r="O211" s="1" t="s">
        <v>1812</v>
      </c>
      <c r="P211" t="str">
        <f t="shared" si="20"/>
        <v>R2*0,5</v>
      </c>
      <c r="Q211" s="3">
        <f t="shared" si="21"/>
        <v>0.2</v>
      </c>
      <c r="R211" s="1" t="s">
        <v>1812</v>
      </c>
      <c r="S211" t="str">
        <f t="shared" si="20"/>
        <v>R2*0,5</v>
      </c>
      <c r="T211" s="3">
        <f t="shared" si="21"/>
        <v>0.2</v>
      </c>
      <c r="U211" s="1" t="s">
        <v>1812</v>
      </c>
      <c r="V211" t="str">
        <f t="shared" si="22"/>
        <v>RB*0,5</v>
      </c>
      <c r="W211" s="3">
        <f t="shared" si="23"/>
        <v>0.05</v>
      </c>
    </row>
    <row r="212" spans="1:23" x14ac:dyDescent="0.3">
      <c r="A212" s="6" t="e">
        <f t="shared" si="24"/>
        <v>#N/A</v>
      </c>
      <c r="B212" s="3" t="e">
        <f t="shared" si="27"/>
        <v>#N/A</v>
      </c>
      <c r="C212" s="3" t="e">
        <f t="shared" si="28"/>
        <v>#N/A</v>
      </c>
      <c r="D212" s="3" t="e">
        <f t="shared" si="25"/>
        <v>#N/A</v>
      </c>
      <c r="E212" s="3" t="e">
        <f t="shared" si="26"/>
        <v>#N/A</v>
      </c>
      <c r="O212" s="1" t="s">
        <v>1812</v>
      </c>
      <c r="P212" t="str">
        <f t="shared" si="20"/>
        <v>1R2*0,5</v>
      </c>
      <c r="Q212" s="3">
        <f t="shared" si="21"/>
        <v>0.375</v>
      </c>
      <c r="R212" s="1" t="s">
        <v>1812</v>
      </c>
      <c r="S212" t="str">
        <f t="shared" si="20"/>
        <v>1R2*0,5</v>
      </c>
      <c r="T212" s="3">
        <f t="shared" si="21"/>
        <v>0.375</v>
      </c>
      <c r="U212" s="1" t="s">
        <v>1812</v>
      </c>
      <c r="V212" t="str">
        <f t="shared" si="22"/>
        <v>1RB*0,5</v>
      </c>
      <c r="W212" s="3">
        <f t="shared" si="23"/>
        <v>7.4999999999999997E-2</v>
      </c>
    </row>
    <row r="213" spans="1:23" x14ac:dyDescent="0.3">
      <c r="A213" s="6" t="e">
        <f t="shared" si="24"/>
        <v>#N/A</v>
      </c>
      <c r="B213" s="3" t="e">
        <f t="shared" si="27"/>
        <v>#N/A</v>
      </c>
      <c r="C213" s="3" t="e">
        <f t="shared" si="28"/>
        <v>#N/A</v>
      </c>
      <c r="D213" s="3" t="e">
        <f t="shared" si="25"/>
        <v>#N/A</v>
      </c>
      <c r="E213" s="3" t="e">
        <f t="shared" si="26"/>
        <v>#N/A</v>
      </c>
      <c r="O213" s="1" t="s">
        <v>1812</v>
      </c>
      <c r="P213" t="str">
        <f t="shared" si="20"/>
        <v>2R2*0,5</v>
      </c>
      <c r="Q213" s="3">
        <f t="shared" si="21"/>
        <v>0.47499999999999998</v>
      </c>
      <c r="R213" s="1" t="s">
        <v>1812</v>
      </c>
      <c r="S213" t="str">
        <f t="shared" si="20"/>
        <v>2R2*0,5</v>
      </c>
      <c r="T213" s="3">
        <f t="shared" si="21"/>
        <v>0.47499999999999998</v>
      </c>
      <c r="U213" s="1" t="s">
        <v>1812</v>
      </c>
      <c r="V213" t="str">
        <f t="shared" si="22"/>
        <v>2RB*0,5</v>
      </c>
      <c r="W213" s="3">
        <f t="shared" si="23"/>
        <v>0.1</v>
      </c>
    </row>
    <row r="214" spans="1:23" x14ac:dyDescent="0.3">
      <c r="A214" s="6" t="e">
        <f t="shared" si="24"/>
        <v>#N/A</v>
      </c>
      <c r="B214" s="3" t="e">
        <f t="shared" si="27"/>
        <v>#N/A</v>
      </c>
      <c r="C214" s="3" t="e">
        <f t="shared" si="28"/>
        <v>#N/A</v>
      </c>
      <c r="D214" s="3" t="e">
        <f t="shared" si="25"/>
        <v>#N/A</v>
      </c>
      <c r="E214" s="3" t="e">
        <f t="shared" si="26"/>
        <v>#N/A</v>
      </c>
      <c r="O214" s="1" t="s">
        <v>1812</v>
      </c>
      <c r="P214" t="str">
        <f t="shared" ref="P214:S277" si="29">CONCATENATE(P68,"*0,5")</f>
        <v>RD2*0,5</v>
      </c>
      <c r="Q214" s="3">
        <f t="shared" ref="Q214:T277" si="30">Q68*0.5</f>
        <v>0.52500000000000002</v>
      </c>
      <c r="R214" s="1" t="s">
        <v>1812</v>
      </c>
      <c r="S214" t="str">
        <f t="shared" si="29"/>
        <v>RD2*0,5</v>
      </c>
      <c r="T214" s="3">
        <f t="shared" si="30"/>
        <v>0.52500000000000002</v>
      </c>
      <c r="U214" s="1" t="s">
        <v>1812</v>
      </c>
      <c r="V214" t="str">
        <f t="shared" si="22"/>
        <v>ROB*0,5</v>
      </c>
      <c r="W214" s="3">
        <f t="shared" si="23"/>
        <v>0.125</v>
      </c>
    </row>
    <row r="215" spans="1:23" x14ac:dyDescent="0.3">
      <c r="A215" s="6" t="e">
        <f t="shared" si="24"/>
        <v>#N/A</v>
      </c>
      <c r="B215" s="3" t="e">
        <f t="shared" si="27"/>
        <v>#N/A</v>
      </c>
      <c r="C215" s="3" t="e">
        <f t="shared" si="28"/>
        <v>#N/A</v>
      </c>
      <c r="D215" s="3" t="e">
        <f t="shared" si="25"/>
        <v>#N/A</v>
      </c>
      <c r="E215" s="3" t="e">
        <f t="shared" si="26"/>
        <v>#N/A</v>
      </c>
      <c r="O215" s="1" t="s">
        <v>1812</v>
      </c>
      <c r="P215" t="str">
        <f t="shared" si="29"/>
        <v>RU2*0,5</v>
      </c>
      <c r="Q215" s="3">
        <f t="shared" si="30"/>
        <v>0.57499999999999996</v>
      </c>
      <c r="R215" s="1" t="s">
        <v>1812</v>
      </c>
      <c r="S215" t="str">
        <f t="shared" si="29"/>
        <v>RU2*0,5</v>
      </c>
      <c r="T215" s="3">
        <f t="shared" si="30"/>
        <v>0.57499999999999996</v>
      </c>
      <c r="U215" s="1" t="s">
        <v>1812</v>
      </c>
      <c r="V215" t="str">
        <f t="shared" si="22"/>
        <v>RCB*0,5</v>
      </c>
      <c r="W215" s="3">
        <f t="shared" si="23"/>
        <v>0.125</v>
      </c>
    </row>
    <row r="216" spans="1:23" x14ac:dyDescent="0.3">
      <c r="A216" s="6" t="e">
        <f t="shared" si="24"/>
        <v>#N/A</v>
      </c>
      <c r="B216" s="3" t="e">
        <f t="shared" si="27"/>
        <v>#N/A</v>
      </c>
      <c r="C216" s="3" t="e">
        <f t="shared" si="28"/>
        <v>#N/A</v>
      </c>
      <c r="D216" s="3" t="e">
        <f t="shared" si="25"/>
        <v>#N/A</v>
      </c>
      <c r="E216" s="3" t="e">
        <f t="shared" si="26"/>
        <v>#N/A</v>
      </c>
      <c r="O216" s="1" t="s">
        <v>1812</v>
      </c>
      <c r="P216" t="str">
        <f t="shared" si="29"/>
        <v>R3*0,5</v>
      </c>
      <c r="Q216" s="3">
        <f t="shared" si="30"/>
        <v>0.3</v>
      </c>
      <c r="R216" s="1" t="s">
        <v>1812</v>
      </c>
      <c r="S216" t="str">
        <f t="shared" si="29"/>
        <v>R3*0,5</v>
      </c>
      <c r="T216" s="3">
        <f t="shared" si="30"/>
        <v>0.3</v>
      </c>
      <c r="U216" s="1" t="s">
        <v>1812</v>
      </c>
      <c r="V216" t="str">
        <f t="shared" si="22"/>
        <v>R1*0,5</v>
      </c>
      <c r="W216" s="3">
        <f t="shared" si="23"/>
        <v>0.1</v>
      </c>
    </row>
    <row r="217" spans="1:23" x14ac:dyDescent="0.3">
      <c r="A217" s="6" t="e">
        <f t="shared" si="24"/>
        <v>#N/A</v>
      </c>
      <c r="B217" s="3" t="e">
        <f t="shared" si="27"/>
        <v>#N/A</v>
      </c>
      <c r="C217" s="3" t="e">
        <f t="shared" si="28"/>
        <v>#N/A</v>
      </c>
      <c r="D217" s="3" t="e">
        <f t="shared" si="25"/>
        <v>#N/A</v>
      </c>
      <c r="E217" s="3" t="e">
        <f t="shared" si="26"/>
        <v>#N/A</v>
      </c>
      <c r="O217" s="1" t="s">
        <v>1812</v>
      </c>
      <c r="P217" t="str">
        <f t="shared" si="29"/>
        <v>1R3*0,5</v>
      </c>
      <c r="Q217" s="3">
        <f t="shared" si="30"/>
        <v>0.57499999999999996</v>
      </c>
      <c r="R217" s="1" t="s">
        <v>1812</v>
      </c>
      <c r="S217" t="str">
        <f t="shared" si="29"/>
        <v>1R3*0,5</v>
      </c>
      <c r="T217" s="3">
        <f t="shared" si="30"/>
        <v>0.57499999999999996</v>
      </c>
      <c r="U217" s="1" t="s">
        <v>1812</v>
      </c>
      <c r="V217" t="str">
        <f t="shared" si="22"/>
        <v>1R1*0,5</v>
      </c>
      <c r="W217" s="3">
        <f t="shared" si="23"/>
        <v>0.17499999999999999</v>
      </c>
    </row>
    <row r="218" spans="1:23" x14ac:dyDescent="0.3">
      <c r="A218" s="6" t="e">
        <f t="shared" si="24"/>
        <v>#N/A</v>
      </c>
      <c r="B218" s="3" t="e">
        <f t="shared" si="27"/>
        <v>#N/A</v>
      </c>
      <c r="C218" s="3" t="e">
        <f t="shared" si="28"/>
        <v>#N/A</v>
      </c>
      <c r="D218" s="3" t="e">
        <f t="shared" si="25"/>
        <v>#N/A</v>
      </c>
      <c r="E218" s="3" t="e">
        <f t="shared" si="26"/>
        <v>#N/A</v>
      </c>
      <c r="O218" s="1" t="s">
        <v>1812</v>
      </c>
      <c r="P218" t="str">
        <f t="shared" si="29"/>
        <v>2R3*0,5</v>
      </c>
      <c r="Q218" s="3">
        <f t="shared" si="30"/>
        <v>0.72499999999999998</v>
      </c>
      <c r="R218" s="1" t="s">
        <v>1812</v>
      </c>
      <c r="S218" t="str">
        <f t="shared" si="29"/>
        <v>2R3*0,5</v>
      </c>
      <c r="T218" s="3">
        <f t="shared" si="30"/>
        <v>0.72499999999999998</v>
      </c>
      <c r="U218" s="1" t="s">
        <v>1812</v>
      </c>
      <c r="V218" t="str">
        <f t="shared" si="22"/>
        <v>2R1*0,5</v>
      </c>
      <c r="W218" s="3">
        <f t="shared" si="23"/>
        <v>0.22500000000000001</v>
      </c>
    </row>
    <row r="219" spans="1:23" x14ac:dyDescent="0.3">
      <c r="A219" s="6" t="e">
        <f t="shared" si="24"/>
        <v>#N/A</v>
      </c>
      <c r="B219" s="3" t="e">
        <f t="shared" si="27"/>
        <v>#N/A</v>
      </c>
      <c r="C219" s="3" t="e">
        <f t="shared" si="28"/>
        <v>#N/A</v>
      </c>
      <c r="D219" s="3" t="e">
        <f t="shared" si="25"/>
        <v>#N/A</v>
      </c>
      <c r="E219" s="3" t="e">
        <f t="shared" si="26"/>
        <v>#N/A</v>
      </c>
      <c r="O219" s="1" t="s">
        <v>1812</v>
      </c>
      <c r="P219" t="str">
        <f t="shared" si="29"/>
        <v>RU3*0,5</v>
      </c>
      <c r="Q219" s="3">
        <f t="shared" si="30"/>
        <v>0.875</v>
      </c>
      <c r="R219" s="1" t="s">
        <v>1812</v>
      </c>
      <c r="S219" t="str">
        <f t="shared" si="29"/>
        <v>RU3*0,5</v>
      </c>
      <c r="T219" s="3">
        <f t="shared" si="30"/>
        <v>0.875</v>
      </c>
      <c r="U219" s="1" t="s">
        <v>1812</v>
      </c>
      <c r="V219" t="str">
        <f t="shared" si="22"/>
        <v>RD1*0,5</v>
      </c>
      <c r="W219" s="3">
        <f t="shared" si="23"/>
        <v>0.25</v>
      </c>
    </row>
    <row r="220" spans="1:23" x14ac:dyDescent="0.3">
      <c r="A220" s="6" t="e">
        <f t="shared" si="24"/>
        <v>#N/A</v>
      </c>
      <c r="B220" s="3" t="e">
        <f t="shared" si="27"/>
        <v>#N/A</v>
      </c>
      <c r="C220" s="3" t="e">
        <f t="shared" si="28"/>
        <v>#N/A</v>
      </c>
      <c r="D220" s="3" t="e">
        <f t="shared" si="25"/>
        <v>#N/A</v>
      </c>
      <c r="E220" s="3" t="e">
        <f t="shared" si="26"/>
        <v>#N/A</v>
      </c>
      <c r="O220" s="1" t="s">
        <v>1812</v>
      </c>
      <c r="P220" t="str">
        <f t="shared" si="29"/>
        <v>R4*0,5</v>
      </c>
      <c r="Q220" s="3">
        <f t="shared" si="30"/>
        <v>0.4</v>
      </c>
      <c r="R220" s="1" t="s">
        <v>1812</v>
      </c>
      <c r="S220" t="str">
        <f t="shared" si="29"/>
        <v>R4*0,5</v>
      </c>
      <c r="T220" s="3">
        <f t="shared" si="30"/>
        <v>0.4</v>
      </c>
      <c r="U220" s="1" t="s">
        <v>1812</v>
      </c>
      <c r="V220" t="str">
        <f t="shared" si="22"/>
        <v>RU1*0,5</v>
      </c>
      <c r="W220" s="3">
        <f t="shared" si="23"/>
        <v>0.27500000000000002</v>
      </c>
    </row>
    <row r="221" spans="1:23" x14ac:dyDescent="0.3">
      <c r="A221" s="6" t="e">
        <f t="shared" si="24"/>
        <v>#N/A</v>
      </c>
      <c r="B221" s="3" t="e">
        <f t="shared" si="27"/>
        <v>#N/A</v>
      </c>
      <c r="C221" s="3" t="e">
        <f t="shared" si="28"/>
        <v>#N/A</v>
      </c>
      <c r="D221" s="3" t="e">
        <f t="shared" si="25"/>
        <v>#N/A</v>
      </c>
      <c r="E221" s="3" t="e">
        <f t="shared" si="26"/>
        <v>#N/A</v>
      </c>
      <c r="O221" s="1" t="s">
        <v>1812</v>
      </c>
      <c r="P221" t="str">
        <f t="shared" si="29"/>
        <v>1R4*0,5</v>
      </c>
      <c r="Q221" s="3">
        <f t="shared" si="30"/>
        <v>0.77500000000000002</v>
      </c>
      <c r="R221" s="1" t="s">
        <v>1812</v>
      </c>
      <c r="S221" t="str">
        <f t="shared" si="29"/>
        <v>1R4*0,5</v>
      </c>
      <c r="T221" s="3">
        <f t="shared" si="30"/>
        <v>0.77500000000000002</v>
      </c>
      <c r="U221" s="1" t="s">
        <v>1812</v>
      </c>
      <c r="V221" t="str">
        <f t="shared" si="22"/>
        <v>RO1*0,5</v>
      </c>
      <c r="W221" s="3">
        <f t="shared" si="23"/>
        <v>0.27500000000000002</v>
      </c>
    </row>
    <row r="222" spans="1:23" x14ac:dyDescent="0.3">
      <c r="A222" s="6" t="e">
        <f t="shared" si="24"/>
        <v>#N/A</v>
      </c>
      <c r="B222" s="3" t="e">
        <f t="shared" si="27"/>
        <v>#N/A</v>
      </c>
      <c r="C222" s="3" t="e">
        <f t="shared" si="28"/>
        <v>#N/A</v>
      </c>
      <c r="D222" s="3" t="e">
        <f t="shared" si="25"/>
        <v>#N/A</v>
      </c>
      <c r="E222" s="3" t="e">
        <f t="shared" si="26"/>
        <v>#N/A</v>
      </c>
      <c r="O222" s="1" t="s">
        <v>1812</v>
      </c>
      <c r="P222" t="str">
        <f t="shared" si="29"/>
        <v>2R4*0,5</v>
      </c>
      <c r="Q222" s="3">
        <f t="shared" si="30"/>
        <v>0.97499999999999998</v>
      </c>
      <c r="R222" s="1" t="s">
        <v>1812</v>
      </c>
      <c r="S222" t="str">
        <f t="shared" si="29"/>
        <v>2R4*0,5</v>
      </c>
      <c r="T222" s="3">
        <f t="shared" si="30"/>
        <v>0.97499999999999998</v>
      </c>
      <c r="U222" s="1" t="s">
        <v>1812</v>
      </c>
      <c r="V222" t="str">
        <f t="shared" si="22"/>
        <v>RC1*0,5</v>
      </c>
      <c r="W222" s="3">
        <f t="shared" si="23"/>
        <v>0.27500000000000002</v>
      </c>
    </row>
    <row r="223" spans="1:23" x14ac:dyDescent="0.3">
      <c r="A223" s="6" t="e">
        <f t="shared" si="24"/>
        <v>#N/A</v>
      </c>
      <c r="B223" s="3" t="e">
        <f t="shared" si="27"/>
        <v>#N/A</v>
      </c>
      <c r="C223" s="3" t="e">
        <f t="shared" si="28"/>
        <v>#N/A</v>
      </c>
      <c r="D223" s="3" t="e">
        <f t="shared" si="25"/>
        <v>#N/A</v>
      </c>
      <c r="E223" s="3" t="e">
        <f t="shared" si="26"/>
        <v>#N/A</v>
      </c>
      <c r="O223" s="1" t="s">
        <v>1812</v>
      </c>
      <c r="P223" t="str">
        <f t="shared" si="29"/>
        <v>RD4*0,5</v>
      </c>
      <c r="Q223" s="3">
        <f t="shared" si="30"/>
        <v>1.075</v>
      </c>
      <c r="R223" s="1" t="s">
        <v>1812</v>
      </c>
      <c r="S223" t="str">
        <f t="shared" si="29"/>
        <v>RD4*0,5</v>
      </c>
      <c r="T223" s="3">
        <f t="shared" si="30"/>
        <v>1.075</v>
      </c>
      <c r="U223" s="1" t="s">
        <v>1812</v>
      </c>
      <c r="V223" t="str">
        <f t="shared" si="22"/>
        <v>R2*0,5</v>
      </c>
      <c r="W223" s="3">
        <f t="shared" si="23"/>
        <v>0.2</v>
      </c>
    </row>
    <row r="224" spans="1:23" x14ac:dyDescent="0.3">
      <c r="A224" s="6" t="e">
        <f t="shared" si="24"/>
        <v>#N/A</v>
      </c>
      <c r="B224" s="3" t="e">
        <f t="shared" si="27"/>
        <v>#N/A</v>
      </c>
      <c r="C224" s="3" t="e">
        <f t="shared" si="28"/>
        <v>#N/A</v>
      </c>
      <c r="D224" s="3" t="e">
        <f t="shared" si="25"/>
        <v>#N/A</v>
      </c>
      <c r="E224" s="3" t="e">
        <f t="shared" si="26"/>
        <v>#N/A</v>
      </c>
      <c r="O224" s="1" t="s">
        <v>1812</v>
      </c>
      <c r="P224" t="str">
        <f t="shared" si="29"/>
        <v>RU4*0,5</v>
      </c>
      <c r="Q224" s="3">
        <f t="shared" si="30"/>
        <v>1.175</v>
      </c>
      <c r="R224" s="1" t="s">
        <v>1812</v>
      </c>
      <c r="S224" t="str">
        <f t="shared" si="29"/>
        <v>RU4*0,5</v>
      </c>
      <c r="T224" s="3">
        <f t="shared" si="30"/>
        <v>1.175</v>
      </c>
      <c r="U224" s="1" t="s">
        <v>1812</v>
      </c>
      <c r="V224" t="str">
        <f t="shared" si="22"/>
        <v>1R2*0,5</v>
      </c>
      <c r="W224" s="3">
        <f t="shared" si="23"/>
        <v>0.375</v>
      </c>
    </row>
    <row r="225" spans="1:23" x14ac:dyDescent="0.3">
      <c r="A225" s="6" t="e">
        <f t="shared" si="24"/>
        <v>#N/A</v>
      </c>
      <c r="B225" s="3" t="e">
        <f t="shared" si="27"/>
        <v>#N/A</v>
      </c>
      <c r="C225" s="3" t="e">
        <f t="shared" si="28"/>
        <v>#N/A</v>
      </c>
      <c r="D225" s="3" t="e">
        <f t="shared" si="25"/>
        <v>#N/A</v>
      </c>
      <c r="E225" s="3" t="e">
        <f t="shared" si="26"/>
        <v>#N/A</v>
      </c>
      <c r="O225" s="1" t="s">
        <v>1812</v>
      </c>
      <c r="P225" t="str">
        <f t="shared" si="29"/>
        <v>1R5*0,5</v>
      </c>
      <c r="Q225" s="3">
        <f t="shared" si="30"/>
        <v>0.97499999999999998</v>
      </c>
      <c r="R225" s="1" t="s">
        <v>1812</v>
      </c>
      <c r="S225" t="str">
        <f t="shared" si="29"/>
        <v>1R5*0,5</v>
      </c>
      <c r="T225" s="3">
        <f t="shared" si="30"/>
        <v>0.97499999999999998</v>
      </c>
      <c r="U225" s="1" t="s">
        <v>1812</v>
      </c>
      <c r="V225" t="str">
        <f t="shared" si="22"/>
        <v>2R2*0,5</v>
      </c>
      <c r="W225" s="3">
        <f t="shared" si="23"/>
        <v>0.47499999999999998</v>
      </c>
    </row>
    <row r="226" spans="1:23" x14ac:dyDescent="0.3">
      <c r="A226" s="6" t="e">
        <f t="shared" si="24"/>
        <v>#N/A</v>
      </c>
      <c r="B226" s="3" t="e">
        <f t="shared" si="27"/>
        <v>#N/A</v>
      </c>
      <c r="C226" s="3" t="e">
        <f t="shared" si="28"/>
        <v>#N/A</v>
      </c>
      <c r="D226" s="3" t="e">
        <f t="shared" si="25"/>
        <v>#N/A</v>
      </c>
      <c r="E226" s="3" t="e">
        <f t="shared" si="26"/>
        <v>#N/A</v>
      </c>
      <c r="O226" s="1" t="s">
        <v>1812</v>
      </c>
      <c r="P226" t="str">
        <f t="shared" si="29"/>
        <v>2R5*0,5</v>
      </c>
      <c r="Q226" s="3">
        <f t="shared" si="30"/>
        <v>1.2250000000000001</v>
      </c>
      <c r="R226" s="1" t="s">
        <v>1812</v>
      </c>
      <c r="S226" t="str">
        <f t="shared" si="29"/>
        <v>2R5*0,5</v>
      </c>
      <c r="T226" s="3">
        <f t="shared" si="30"/>
        <v>1.2250000000000001</v>
      </c>
      <c r="U226" s="1" t="s">
        <v>1812</v>
      </c>
      <c r="V226" t="str">
        <f t="shared" ref="V226:V289" si="31">CONCATENATE(V68,"*0,5")</f>
        <v>RD2*0,5</v>
      </c>
      <c r="W226" s="3">
        <f t="shared" ref="W226:W289" si="32">W68*0.5</f>
        <v>0.52500000000000002</v>
      </c>
    </row>
    <row r="227" spans="1:23" x14ac:dyDescent="0.3">
      <c r="A227" s="6" t="e">
        <f t="shared" si="24"/>
        <v>#N/A</v>
      </c>
      <c r="B227" s="3" t="e">
        <f t="shared" si="27"/>
        <v>#N/A</v>
      </c>
      <c r="C227" s="3" t="e">
        <f t="shared" si="28"/>
        <v>#N/A</v>
      </c>
      <c r="D227" s="3" t="e">
        <f t="shared" si="25"/>
        <v>#N/A</v>
      </c>
      <c r="E227" s="3" t="e">
        <f t="shared" si="26"/>
        <v>#N/A</v>
      </c>
      <c r="O227" s="1" t="s">
        <v>1812</v>
      </c>
      <c r="P227" t="str">
        <f t="shared" si="29"/>
        <v>RU5*0,5</v>
      </c>
      <c r="Q227" s="3">
        <f t="shared" si="30"/>
        <v>1.4750000000000001</v>
      </c>
      <c r="R227" s="1" t="s">
        <v>1812</v>
      </c>
      <c r="S227" t="str">
        <f t="shared" si="29"/>
        <v>RU5*0,5</v>
      </c>
      <c r="T227" s="3">
        <f t="shared" si="30"/>
        <v>1.4750000000000001</v>
      </c>
      <c r="U227" s="1" t="s">
        <v>1812</v>
      </c>
      <c r="V227" t="str">
        <f t="shared" si="31"/>
        <v>RU2*0,5</v>
      </c>
      <c r="W227" s="3">
        <f t="shared" si="32"/>
        <v>0.57499999999999996</v>
      </c>
    </row>
    <row r="228" spans="1:23" x14ac:dyDescent="0.3">
      <c r="A228" s="6" t="e">
        <f t="shared" ref="A228:A291" si="33">IF($B$1="Solo",IF(L227="","",L227),IF($B$1="Duet",IF(O227="","",O227),IF($B$1="Mixed",IF(R227="","",R227),IF(U227="","",U227))))</f>
        <v>#N/A</v>
      </c>
      <c r="B228" s="3" t="e">
        <f t="shared" si="27"/>
        <v>#N/A</v>
      </c>
      <c r="C228" s="3" t="e">
        <f t="shared" si="28"/>
        <v>#N/A</v>
      </c>
      <c r="D228" s="3" t="e">
        <f t="shared" si="25"/>
        <v>#N/A</v>
      </c>
      <c r="E228" s="3" t="e">
        <f t="shared" si="26"/>
        <v>#N/A</v>
      </c>
      <c r="O228" s="1" t="s">
        <v>1812</v>
      </c>
      <c r="P228" t="str">
        <f t="shared" si="29"/>
        <v>1R6*0,5</v>
      </c>
      <c r="Q228" s="3">
        <f t="shared" si="30"/>
        <v>1.175</v>
      </c>
      <c r="R228" s="1" t="s">
        <v>1812</v>
      </c>
      <c r="S228" t="str">
        <f t="shared" si="29"/>
        <v>1R6*0,5</v>
      </c>
      <c r="T228" s="3">
        <f t="shared" si="30"/>
        <v>1.175</v>
      </c>
      <c r="U228" s="1" t="s">
        <v>1812</v>
      </c>
      <c r="V228" t="str">
        <f t="shared" si="31"/>
        <v>R3*0,5</v>
      </c>
      <c r="W228" s="3">
        <f t="shared" si="32"/>
        <v>0.3</v>
      </c>
    </row>
    <row r="229" spans="1:23" x14ac:dyDescent="0.3">
      <c r="A229" s="6" t="e">
        <f t="shared" si="33"/>
        <v>#N/A</v>
      </c>
      <c r="B229" s="3" t="e">
        <f t="shared" si="27"/>
        <v>#N/A</v>
      </c>
      <c r="C229" s="3" t="e">
        <f t="shared" si="28"/>
        <v>#N/A</v>
      </c>
      <c r="D229" s="3" t="e">
        <f t="shared" si="25"/>
        <v>#N/A</v>
      </c>
      <c r="E229" s="3" t="e">
        <f t="shared" si="26"/>
        <v>#N/A</v>
      </c>
      <c r="O229" s="1" t="s">
        <v>1812</v>
      </c>
      <c r="P229" t="str">
        <f t="shared" si="29"/>
        <v>2R6*0,5</v>
      </c>
      <c r="Q229" s="3">
        <f t="shared" si="30"/>
        <v>1.4750000000000001</v>
      </c>
      <c r="R229" s="1" t="s">
        <v>1812</v>
      </c>
      <c r="S229" t="str">
        <f t="shared" si="29"/>
        <v>2R6*0,5</v>
      </c>
      <c r="T229" s="3">
        <f t="shared" si="30"/>
        <v>1.4750000000000001</v>
      </c>
      <c r="U229" s="1" t="s">
        <v>1812</v>
      </c>
      <c r="V229" t="str">
        <f t="shared" si="31"/>
        <v>1R3*0,5</v>
      </c>
      <c r="W229" s="3">
        <f t="shared" si="32"/>
        <v>0.57499999999999996</v>
      </c>
    </row>
    <row r="230" spans="1:23" x14ac:dyDescent="0.3">
      <c r="A230" s="6" t="e">
        <f t="shared" si="33"/>
        <v>#N/A</v>
      </c>
      <c r="B230" s="3" t="e">
        <f t="shared" si="27"/>
        <v>#N/A</v>
      </c>
      <c r="C230" s="3" t="e">
        <f t="shared" si="28"/>
        <v>#N/A</v>
      </c>
      <c r="D230" s="3" t="e">
        <f t="shared" si="25"/>
        <v>#N/A</v>
      </c>
      <c r="E230" s="3" t="e">
        <f t="shared" si="26"/>
        <v>#N/A</v>
      </c>
      <c r="O230" s="1" t="s">
        <v>1812</v>
      </c>
      <c r="P230" t="str">
        <f t="shared" si="29"/>
        <v>RD6*0,5</v>
      </c>
      <c r="Q230" s="3">
        <f t="shared" si="30"/>
        <v>1.675</v>
      </c>
      <c r="R230" s="1" t="s">
        <v>1812</v>
      </c>
      <c r="S230" t="str">
        <f t="shared" si="29"/>
        <v>RD6*0,5</v>
      </c>
      <c r="T230" s="3">
        <f t="shared" si="30"/>
        <v>1.675</v>
      </c>
      <c r="U230" s="1" t="s">
        <v>1812</v>
      </c>
      <c r="V230" t="str">
        <f t="shared" si="31"/>
        <v>2R3*0,5</v>
      </c>
      <c r="W230" s="3">
        <f t="shared" si="32"/>
        <v>0.72499999999999998</v>
      </c>
    </row>
    <row r="231" spans="1:23" x14ac:dyDescent="0.3">
      <c r="A231" s="6" t="e">
        <f t="shared" si="33"/>
        <v>#N/A</v>
      </c>
      <c r="B231" s="3" t="e">
        <f t="shared" si="27"/>
        <v>#N/A</v>
      </c>
      <c r="C231" s="3" t="e">
        <f t="shared" si="28"/>
        <v>#N/A</v>
      </c>
      <c r="D231" s="3" t="e">
        <f t="shared" si="25"/>
        <v>#N/A</v>
      </c>
      <c r="E231" s="3" t="e">
        <f t="shared" si="26"/>
        <v>#N/A</v>
      </c>
      <c r="O231" s="1" t="s">
        <v>1812</v>
      </c>
      <c r="P231" t="str">
        <f t="shared" si="29"/>
        <v>RU6*0,5</v>
      </c>
      <c r="Q231" s="3">
        <f t="shared" si="30"/>
        <v>1.7749999999999999</v>
      </c>
      <c r="R231" s="1" t="s">
        <v>1812</v>
      </c>
      <c r="S231" t="str">
        <f t="shared" si="29"/>
        <v>RU6*0,5</v>
      </c>
      <c r="T231" s="3">
        <f t="shared" si="30"/>
        <v>1.7749999999999999</v>
      </c>
      <c r="U231" s="1" t="s">
        <v>1812</v>
      </c>
      <c r="V231" t="str">
        <f t="shared" si="31"/>
        <v>RU3*0,5</v>
      </c>
      <c r="W231" s="3">
        <f t="shared" si="32"/>
        <v>0.875</v>
      </c>
    </row>
    <row r="232" spans="1:23" x14ac:dyDescent="0.3">
      <c r="A232" s="6" t="e">
        <f t="shared" si="33"/>
        <v>#N/A</v>
      </c>
      <c r="B232" s="3" t="e">
        <f t="shared" si="27"/>
        <v>#N/A</v>
      </c>
      <c r="C232" s="3" t="e">
        <f t="shared" si="28"/>
        <v>#N/A</v>
      </c>
      <c r="D232" s="3" t="e">
        <f t="shared" si="25"/>
        <v>#N/A</v>
      </c>
      <c r="E232" s="3" t="e">
        <f t="shared" si="26"/>
        <v>#N/A</v>
      </c>
      <c r="O232" s="1" t="s">
        <v>1812</v>
      </c>
      <c r="P232" t="str">
        <f t="shared" si="29"/>
        <v>2R7*0,5</v>
      </c>
      <c r="Q232" s="3">
        <f t="shared" si="30"/>
        <v>1.7250000000000001</v>
      </c>
      <c r="R232" s="1" t="s">
        <v>1812</v>
      </c>
      <c r="S232" t="str">
        <f t="shared" si="29"/>
        <v>2R7*0,5</v>
      </c>
      <c r="T232" s="3">
        <f t="shared" si="30"/>
        <v>1.7250000000000001</v>
      </c>
      <c r="U232" s="1" t="s">
        <v>1812</v>
      </c>
      <c r="V232" t="str">
        <f t="shared" si="31"/>
        <v>R4*0,5</v>
      </c>
      <c r="W232" s="3">
        <f t="shared" si="32"/>
        <v>0.4</v>
      </c>
    </row>
    <row r="233" spans="1:23" x14ac:dyDescent="0.3">
      <c r="A233" s="6" t="e">
        <f t="shared" si="33"/>
        <v>#N/A</v>
      </c>
      <c r="B233" s="3" t="e">
        <f t="shared" si="27"/>
        <v>#N/A</v>
      </c>
      <c r="C233" s="3" t="e">
        <f t="shared" si="28"/>
        <v>#N/A</v>
      </c>
      <c r="D233" s="3" t="e">
        <f t="shared" si="25"/>
        <v>#N/A</v>
      </c>
      <c r="E233" s="3" t="e">
        <f t="shared" si="26"/>
        <v>#N/A</v>
      </c>
      <c r="O233" s="1" t="s">
        <v>1812</v>
      </c>
      <c r="P233" t="str">
        <f t="shared" si="29"/>
        <v>RU7*0,5</v>
      </c>
      <c r="Q233" s="3">
        <f t="shared" si="30"/>
        <v>2.0750000000000002</v>
      </c>
      <c r="R233" s="1" t="s">
        <v>1812</v>
      </c>
      <c r="S233" t="str">
        <f t="shared" si="29"/>
        <v>RU7*0,5</v>
      </c>
      <c r="T233" s="3">
        <f t="shared" si="30"/>
        <v>2.0750000000000002</v>
      </c>
      <c r="U233" s="1" t="s">
        <v>1812</v>
      </c>
      <c r="V233" t="str">
        <f t="shared" si="31"/>
        <v>1R4*0,5</v>
      </c>
      <c r="W233" s="3">
        <f t="shared" si="32"/>
        <v>0.77500000000000002</v>
      </c>
    </row>
    <row r="234" spans="1:23" x14ac:dyDescent="0.3">
      <c r="A234" s="6" t="e">
        <f t="shared" si="33"/>
        <v>#N/A</v>
      </c>
      <c r="B234" s="3" t="e">
        <f t="shared" si="27"/>
        <v>#N/A</v>
      </c>
      <c r="C234" s="3" t="e">
        <f t="shared" si="28"/>
        <v>#N/A</v>
      </c>
      <c r="D234" s="3" t="e">
        <f t="shared" si="25"/>
        <v>#N/A</v>
      </c>
      <c r="E234" s="3" t="e">
        <f t="shared" si="26"/>
        <v>#N/A</v>
      </c>
      <c r="O234" s="1" t="s">
        <v>1812</v>
      </c>
      <c r="P234" t="str">
        <f t="shared" si="29"/>
        <v>2R8*0,5</v>
      </c>
      <c r="Q234" s="3">
        <f t="shared" si="30"/>
        <v>1.9750000000000001</v>
      </c>
      <c r="R234" s="1" t="s">
        <v>1812</v>
      </c>
      <c r="S234" t="str">
        <f t="shared" si="29"/>
        <v>2R8*0,5</v>
      </c>
      <c r="T234" s="3">
        <f t="shared" si="30"/>
        <v>1.9750000000000001</v>
      </c>
      <c r="U234" s="1" t="s">
        <v>1812</v>
      </c>
      <c r="V234" t="str">
        <f t="shared" si="31"/>
        <v>2R4*0,5</v>
      </c>
      <c r="W234" s="3">
        <f t="shared" si="32"/>
        <v>0.97499999999999998</v>
      </c>
    </row>
    <row r="235" spans="1:23" x14ac:dyDescent="0.3">
      <c r="A235" s="6" t="e">
        <f t="shared" si="33"/>
        <v>#N/A</v>
      </c>
      <c r="B235" s="3" t="e">
        <f t="shared" si="27"/>
        <v>#N/A</v>
      </c>
      <c r="C235" s="3" t="e">
        <f t="shared" si="28"/>
        <v>#N/A</v>
      </c>
      <c r="D235" s="3" t="e">
        <f t="shared" si="25"/>
        <v>#N/A</v>
      </c>
      <c r="E235" s="3" t="e">
        <f t="shared" si="26"/>
        <v>#N/A</v>
      </c>
      <c r="O235" s="1" t="s">
        <v>1812</v>
      </c>
      <c r="P235" t="str">
        <f t="shared" si="29"/>
        <v>RU8*0,5</v>
      </c>
      <c r="Q235" s="3">
        <f t="shared" si="30"/>
        <v>2.375</v>
      </c>
      <c r="R235" s="1" t="s">
        <v>1812</v>
      </c>
      <c r="S235" t="str">
        <f t="shared" si="29"/>
        <v>RU8*0,5</v>
      </c>
      <c r="T235" s="3">
        <f t="shared" si="30"/>
        <v>2.375</v>
      </c>
      <c r="U235" s="1" t="s">
        <v>1812</v>
      </c>
      <c r="V235" t="str">
        <f t="shared" si="31"/>
        <v>RD4*0,5</v>
      </c>
      <c r="W235" s="3">
        <f t="shared" si="32"/>
        <v>1.075</v>
      </c>
    </row>
    <row r="236" spans="1:23" x14ac:dyDescent="0.3">
      <c r="A236" s="6" t="e">
        <f t="shared" si="33"/>
        <v>#N/A</v>
      </c>
      <c r="B236" s="3" t="e">
        <f t="shared" si="27"/>
        <v>#N/A</v>
      </c>
      <c r="C236" s="3" t="e">
        <f t="shared" si="28"/>
        <v>#N/A</v>
      </c>
      <c r="D236" s="3" t="e">
        <f t="shared" si="25"/>
        <v>#N/A</v>
      </c>
      <c r="E236" s="3" t="e">
        <f t="shared" si="26"/>
        <v>#N/A</v>
      </c>
      <c r="O236" s="1" t="s">
        <v>1812</v>
      </c>
      <c r="P236" t="str">
        <f t="shared" si="29"/>
        <v>2R9*0,5</v>
      </c>
      <c r="Q236" s="3">
        <f t="shared" si="30"/>
        <v>2.2250000000000001</v>
      </c>
      <c r="R236" s="1" t="s">
        <v>1812</v>
      </c>
      <c r="S236" t="str">
        <f t="shared" si="29"/>
        <v>2R9*0,5</v>
      </c>
      <c r="T236" s="3">
        <f t="shared" si="30"/>
        <v>2.2250000000000001</v>
      </c>
      <c r="U236" s="1" t="s">
        <v>1812</v>
      </c>
      <c r="V236" t="str">
        <f t="shared" si="31"/>
        <v>RU4*0,5</v>
      </c>
      <c r="W236" s="3">
        <f t="shared" si="32"/>
        <v>1.175</v>
      </c>
    </row>
    <row r="237" spans="1:23" x14ac:dyDescent="0.3">
      <c r="A237" s="6" t="e">
        <f t="shared" si="33"/>
        <v>#N/A</v>
      </c>
      <c r="B237" s="3" t="e">
        <f t="shared" si="27"/>
        <v>#N/A</v>
      </c>
      <c r="C237" s="3" t="e">
        <f t="shared" si="28"/>
        <v>#N/A</v>
      </c>
      <c r="D237" s="3" t="e">
        <f t="shared" si="25"/>
        <v>#N/A</v>
      </c>
      <c r="E237" s="3" t="e">
        <f t="shared" si="26"/>
        <v>#N/A</v>
      </c>
      <c r="O237" s="1" t="s">
        <v>1812</v>
      </c>
      <c r="P237" t="str">
        <f t="shared" si="29"/>
        <v>RU9*0,5</v>
      </c>
      <c r="Q237" s="3">
        <f t="shared" si="30"/>
        <v>2.6749999999999998</v>
      </c>
      <c r="R237" s="1" t="s">
        <v>1812</v>
      </c>
      <c r="S237" t="str">
        <f t="shared" si="29"/>
        <v>RU9*0,5</v>
      </c>
      <c r="T237" s="3">
        <f t="shared" si="30"/>
        <v>2.6749999999999998</v>
      </c>
      <c r="U237" s="1" t="s">
        <v>1812</v>
      </c>
      <c r="V237" t="str">
        <f t="shared" si="31"/>
        <v>1R5*0,5</v>
      </c>
      <c r="W237" s="3">
        <f t="shared" si="32"/>
        <v>0.97499999999999998</v>
      </c>
    </row>
    <row r="238" spans="1:23" x14ac:dyDescent="0.3">
      <c r="A238" s="6" t="e">
        <f t="shared" si="33"/>
        <v>#N/A</v>
      </c>
      <c r="B238" s="3" t="e">
        <f t="shared" si="27"/>
        <v>#N/A</v>
      </c>
      <c r="C238" s="3" t="e">
        <f t="shared" si="28"/>
        <v>#N/A</v>
      </c>
      <c r="D238" s="3" t="e">
        <f t="shared" si="25"/>
        <v>#N/A</v>
      </c>
      <c r="E238" s="3" t="e">
        <f t="shared" si="26"/>
        <v>#N/A</v>
      </c>
      <c r="O238" s="1" t="s">
        <v>1812</v>
      </c>
      <c r="P238" t="str">
        <f t="shared" si="29"/>
        <v>2R10*0,5</v>
      </c>
      <c r="Q238" s="3">
        <f t="shared" si="30"/>
        <v>2.4750000000000001</v>
      </c>
      <c r="R238" s="1" t="s">
        <v>1812</v>
      </c>
      <c r="S238" t="str">
        <f t="shared" si="29"/>
        <v>2R10*0,5</v>
      </c>
      <c r="T238" s="3">
        <f t="shared" si="30"/>
        <v>2.4750000000000001</v>
      </c>
      <c r="U238" s="1" t="s">
        <v>1812</v>
      </c>
      <c r="V238" t="str">
        <f t="shared" si="31"/>
        <v>2R5*0,5</v>
      </c>
      <c r="W238" s="3">
        <f t="shared" si="32"/>
        <v>1.2250000000000001</v>
      </c>
    </row>
    <row r="239" spans="1:23" x14ac:dyDescent="0.3">
      <c r="A239" s="6" t="e">
        <f t="shared" si="33"/>
        <v>#N/A</v>
      </c>
      <c r="B239" s="3" t="e">
        <f t="shared" si="27"/>
        <v>#N/A</v>
      </c>
      <c r="C239" s="3" t="e">
        <f t="shared" si="28"/>
        <v>#N/A</v>
      </c>
      <c r="D239" s="3" t="e">
        <f t="shared" si="25"/>
        <v>#N/A</v>
      </c>
      <c r="E239" s="3" t="e">
        <f t="shared" si="26"/>
        <v>#N/A</v>
      </c>
      <c r="O239" s="1" t="s">
        <v>1812</v>
      </c>
      <c r="P239" t="str">
        <f t="shared" si="29"/>
        <v>RU10*0,5</v>
      </c>
      <c r="Q239" s="3">
        <f t="shared" si="30"/>
        <v>2.9750000000000001</v>
      </c>
      <c r="R239" s="1" t="s">
        <v>1812</v>
      </c>
      <c r="S239" t="str">
        <f t="shared" si="29"/>
        <v>RU10*0,5</v>
      </c>
      <c r="T239" s="3">
        <f t="shared" si="30"/>
        <v>2.9750000000000001</v>
      </c>
      <c r="U239" s="1" t="s">
        <v>1812</v>
      </c>
      <c r="V239" t="str">
        <f t="shared" si="31"/>
        <v>RU5*0,5</v>
      </c>
      <c r="W239" s="3">
        <f t="shared" si="32"/>
        <v>1.4750000000000001</v>
      </c>
    </row>
    <row r="240" spans="1:23" x14ac:dyDescent="0.3">
      <c r="A240" s="6" t="e">
        <f t="shared" si="33"/>
        <v>#N/A</v>
      </c>
      <c r="B240" s="3" t="e">
        <f t="shared" si="27"/>
        <v>#N/A</v>
      </c>
      <c r="C240" s="3" t="e">
        <f t="shared" si="28"/>
        <v>#N/A</v>
      </c>
      <c r="D240" s="3" t="e">
        <f t="shared" si="25"/>
        <v>#N/A</v>
      </c>
      <c r="E240" s="3" t="e">
        <f t="shared" si="26"/>
        <v>#N/A</v>
      </c>
      <c r="O240" s="1" t="s">
        <v>1676</v>
      </c>
      <c r="P240" t="str">
        <f t="shared" si="29"/>
        <v>AB*0,5</v>
      </c>
      <c r="Q240" s="3">
        <f t="shared" si="30"/>
        <v>2.5000000000000001E-2</v>
      </c>
      <c r="R240" s="1" t="s">
        <v>1676</v>
      </c>
      <c r="S240" t="str">
        <f t="shared" si="29"/>
        <v>AB*0,5</v>
      </c>
      <c r="T240" s="3">
        <f t="shared" si="30"/>
        <v>2.5000000000000001E-2</v>
      </c>
      <c r="U240" s="1" t="s">
        <v>1812</v>
      </c>
      <c r="V240" t="str">
        <f t="shared" si="31"/>
        <v>1R6*0,5</v>
      </c>
      <c r="W240" s="3">
        <f t="shared" si="32"/>
        <v>1.175</v>
      </c>
    </row>
    <row r="241" spans="1:23" x14ac:dyDescent="0.3">
      <c r="A241" s="6" t="e">
        <f t="shared" si="33"/>
        <v>#N/A</v>
      </c>
      <c r="B241" s="3" t="e">
        <f t="shared" si="27"/>
        <v>#N/A</v>
      </c>
      <c r="C241" s="3" t="e">
        <f t="shared" si="28"/>
        <v>#N/A</v>
      </c>
      <c r="D241" s="3" t="e">
        <f t="shared" si="25"/>
        <v>#N/A</v>
      </c>
      <c r="E241" s="3" t="e">
        <f t="shared" si="26"/>
        <v>#N/A</v>
      </c>
      <c r="O241" s="1" t="s">
        <v>1676</v>
      </c>
      <c r="P241" t="str">
        <f t="shared" si="29"/>
        <v>A1a*0,5</v>
      </c>
      <c r="Q241" s="3">
        <f t="shared" si="30"/>
        <v>0.05</v>
      </c>
      <c r="R241" s="1" t="s">
        <v>1676</v>
      </c>
      <c r="S241" t="str">
        <f t="shared" si="29"/>
        <v>A1a*0,5</v>
      </c>
      <c r="T241" s="3">
        <f t="shared" si="30"/>
        <v>0.05</v>
      </c>
      <c r="U241" s="1" t="s">
        <v>1812</v>
      </c>
      <c r="V241" t="str">
        <f t="shared" si="31"/>
        <v>2R6*0,5</v>
      </c>
      <c r="W241" s="3">
        <f t="shared" si="32"/>
        <v>1.4750000000000001</v>
      </c>
    </row>
    <row r="242" spans="1:23" x14ac:dyDescent="0.3">
      <c r="A242" s="6" t="e">
        <f t="shared" si="33"/>
        <v>#N/A</v>
      </c>
      <c r="B242" s="3" t="e">
        <f t="shared" si="27"/>
        <v>#N/A</v>
      </c>
      <c r="C242" s="3" t="e">
        <f t="shared" si="28"/>
        <v>#N/A</v>
      </c>
      <c r="D242" s="3" t="e">
        <f t="shared" si="25"/>
        <v>#N/A</v>
      </c>
      <c r="E242" s="3" t="e">
        <f t="shared" si="26"/>
        <v>#N/A</v>
      </c>
      <c r="O242" s="1" t="s">
        <v>1676</v>
      </c>
      <c r="P242" t="str">
        <f t="shared" si="29"/>
        <v>A1b*0,5</v>
      </c>
      <c r="Q242" s="3">
        <f t="shared" si="30"/>
        <v>0.05</v>
      </c>
      <c r="R242" s="1" t="s">
        <v>1676</v>
      </c>
      <c r="S242" t="str">
        <f t="shared" si="29"/>
        <v>A1b*0,5</v>
      </c>
      <c r="T242" s="3">
        <f t="shared" si="30"/>
        <v>0.05</v>
      </c>
      <c r="U242" s="1" t="s">
        <v>1812</v>
      </c>
      <c r="V242" t="str">
        <f t="shared" si="31"/>
        <v>RD6*0,5</v>
      </c>
      <c r="W242" s="3">
        <f t="shared" si="32"/>
        <v>1.675</v>
      </c>
    </row>
    <row r="243" spans="1:23" x14ac:dyDescent="0.3">
      <c r="A243" s="6" t="e">
        <f t="shared" si="33"/>
        <v>#N/A</v>
      </c>
      <c r="B243" s="3" t="e">
        <f t="shared" si="27"/>
        <v>#N/A</v>
      </c>
      <c r="C243" s="3" t="e">
        <f t="shared" si="28"/>
        <v>#N/A</v>
      </c>
      <c r="D243" s="3" t="e">
        <f t="shared" si="25"/>
        <v>#N/A</v>
      </c>
      <c r="E243" s="3" t="e">
        <f t="shared" si="26"/>
        <v>#N/A</v>
      </c>
      <c r="O243" s="1" t="s">
        <v>1676</v>
      </c>
      <c r="P243" t="str">
        <f t="shared" si="29"/>
        <v>A1c*0,5</v>
      </c>
      <c r="Q243" s="3">
        <f t="shared" si="30"/>
        <v>0.05</v>
      </c>
      <c r="R243" s="1" t="s">
        <v>1676</v>
      </c>
      <c r="S243" t="str">
        <f t="shared" si="29"/>
        <v>A1c*0,5</v>
      </c>
      <c r="T243" s="3">
        <f t="shared" si="30"/>
        <v>0.05</v>
      </c>
      <c r="U243" s="1" t="s">
        <v>1812</v>
      </c>
      <c r="V243" t="str">
        <f t="shared" si="31"/>
        <v>RU6*0,5</v>
      </c>
      <c r="W243" s="3">
        <f t="shared" si="32"/>
        <v>1.7749999999999999</v>
      </c>
    </row>
    <row r="244" spans="1:23" x14ac:dyDescent="0.3">
      <c r="A244" s="6" t="e">
        <f t="shared" si="33"/>
        <v>#N/A</v>
      </c>
      <c r="B244" s="3" t="e">
        <f t="shared" si="27"/>
        <v>#N/A</v>
      </c>
      <c r="C244" s="3" t="e">
        <f t="shared" si="28"/>
        <v>#N/A</v>
      </c>
      <c r="D244" s="3" t="e">
        <f t="shared" si="25"/>
        <v>#N/A</v>
      </c>
      <c r="E244" s="3" t="e">
        <f t="shared" si="26"/>
        <v>#N/A</v>
      </c>
      <c r="O244" s="1" t="s">
        <v>1676</v>
      </c>
      <c r="P244" t="str">
        <f t="shared" si="29"/>
        <v>A1d*0,5</v>
      </c>
      <c r="Q244" s="3">
        <f t="shared" si="30"/>
        <v>0.05</v>
      </c>
      <c r="R244" s="1" t="s">
        <v>1676</v>
      </c>
      <c r="S244" t="str">
        <f t="shared" si="29"/>
        <v>A1d*0,5</v>
      </c>
      <c r="T244" s="3">
        <f t="shared" si="30"/>
        <v>0.05</v>
      </c>
      <c r="U244" s="1" t="s">
        <v>1812</v>
      </c>
      <c r="V244" t="str">
        <f t="shared" si="31"/>
        <v>2R7*0,5</v>
      </c>
      <c r="W244" s="3">
        <f t="shared" si="32"/>
        <v>1.7250000000000001</v>
      </c>
    </row>
    <row r="245" spans="1:23" x14ac:dyDescent="0.3">
      <c r="A245" s="6" t="e">
        <f t="shared" si="33"/>
        <v>#N/A</v>
      </c>
      <c r="B245" s="3" t="e">
        <f t="shared" si="27"/>
        <v>#N/A</v>
      </c>
      <c r="C245" s="3" t="e">
        <f t="shared" si="28"/>
        <v>#N/A</v>
      </c>
      <c r="D245" s="3" t="e">
        <f t="shared" si="25"/>
        <v>#N/A</v>
      </c>
      <c r="E245" s="3" t="e">
        <f t="shared" si="26"/>
        <v>#N/A</v>
      </c>
      <c r="O245" s="1" t="s">
        <v>1676</v>
      </c>
      <c r="P245" t="str">
        <f t="shared" si="29"/>
        <v>A2a*0,5</v>
      </c>
      <c r="Q245" s="3">
        <f t="shared" si="30"/>
        <v>7.4999999999999997E-2</v>
      </c>
      <c r="R245" s="1" t="s">
        <v>1676</v>
      </c>
      <c r="S245" t="str">
        <f t="shared" si="29"/>
        <v>A2a*0,5</v>
      </c>
      <c r="T245" s="3">
        <f t="shared" si="30"/>
        <v>7.4999999999999997E-2</v>
      </c>
      <c r="U245" s="1" t="s">
        <v>1812</v>
      </c>
      <c r="V245" t="str">
        <f t="shared" si="31"/>
        <v>RU7*0,5</v>
      </c>
      <c r="W245" s="3">
        <f t="shared" si="32"/>
        <v>2.0750000000000002</v>
      </c>
    </row>
    <row r="246" spans="1:23" x14ac:dyDescent="0.3">
      <c r="A246" s="6" t="e">
        <f t="shared" si="33"/>
        <v>#N/A</v>
      </c>
      <c r="B246" s="3" t="e">
        <f t="shared" si="27"/>
        <v>#N/A</v>
      </c>
      <c r="C246" s="3" t="e">
        <f t="shared" si="28"/>
        <v>#N/A</v>
      </c>
      <c r="D246" s="3" t="e">
        <f t="shared" si="25"/>
        <v>#N/A</v>
      </c>
      <c r="E246" s="3" t="e">
        <f t="shared" si="26"/>
        <v>#N/A</v>
      </c>
      <c r="O246" s="1" t="s">
        <v>1676</v>
      </c>
      <c r="P246" t="str">
        <f t="shared" si="29"/>
        <v>A2b*0,5</v>
      </c>
      <c r="Q246" s="3">
        <f t="shared" si="30"/>
        <v>7.4999999999999997E-2</v>
      </c>
      <c r="R246" s="1" t="s">
        <v>1676</v>
      </c>
      <c r="S246" t="str">
        <f t="shared" si="29"/>
        <v>A2b*0,5</v>
      </c>
      <c r="T246" s="3">
        <f t="shared" si="30"/>
        <v>7.4999999999999997E-2</v>
      </c>
      <c r="U246" s="1" t="s">
        <v>1812</v>
      </c>
      <c r="V246" t="str">
        <f t="shared" si="31"/>
        <v>2R8*0,5</v>
      </c>
      <c r="W246" s="3">
        <f t="shared" si="32"/>
        <v>1.9750000000000001</v>
      </c>
    </row>
    <row r="247" spans="1:23" x14ac:dyDescent="0.3">
      <c r="A247" s="6" t="e">
        <f t="shared" si="33"/>
        <v>#N/A</v>
      </c>
      <c r="B247" s="3" t="e">
        <f t="shared" si="27"/>
        <v>#N/A</v>
      </c>
      <c r="C247" s="3" t="e">
        <f t="shared" si="28"/>
        <v>#N/A</v>
      </c>
      <c r="D247" s="3" t="e">
        <f t="shared" si="25"/>
        <v>#N/A</v>
      </c>
      <c r="E247" s="3" t="e">
        <f t="shared" si="26"/>
        <v>#N/A</v>
      </c>
      <c r="O247" s="1" t="s">
        <v>1676</v>
      </c>
      <c r="P247" t="str">
        <f t="shared" si="29"/>
        <v>A3a*0,5</v>
      </c>
      <c r="Q247" s="3">
        <f t="shared" si="30"/>
        <v>0.1</v>
      </c>
      <c r="R247" s="1" t="s">
        <v>1676</v>
      </c>
      <c r="S247" t="str">
        <f t="shared" si="29"/>
        <v>A3a*0,5</v>
      </c>
      <c r="T247" s="3">
        <f t="shared" si="30"/>
        <v>0.1</v>
      </c>
      <c r="U247" s="1" t="s">
        <v>1812</v>
      </c>
      <c r="V247" t="str">
        <f t="shared" si="31"/>
        <v>RU8*0,5</v>
      </c>
      <c r="W247" s="3">
        <f t="shared" si="32"/>
        <v>2.375</v>
      </c>
    </row>
    <row r="248" spans="1:23" x14ac:dyDescent="0.3">
      <c r="A248" s="6" t="e">
        <f t="shared" si="33"/>
        <v>#N/A</v>
      </c>
      <c r="B248" s="3" t="e">
        <f t="shared" si="27"/>
        <v>#N/A</v>
      </c>
      <c r="C248" s="3" t="e">
        <f t="shared" si="28"/>
        <v>#N/A</v>
      </c>
      <c r="D248" s="3" t="e">
        <f t="shared" si="25"/>
        <v>#N/A</v>
      </c>
      <c r="E248" s="3" t="e">
        <f t="shared" si="26"/>
        <v>#N/A</v>
      </c>
      <c r="O248" s="1" t="s">
        <v>1676</v>
      </c>
      <c r="P248" t="str">
        <f t="shared" si="29"/>
        <v>A3b*0,5</v>
      </c>
      <c r="Q248" s="3">
        <f t="shared" si="30"/>
        <v>0.1</v>
      </c>
      <c r="R248" s="1" t="s">
        <v>1676</v>
      </c>
      <c r="S248" t="str">
        <f t="shared" si="29"/>
        <v>A3b*0,5</v>
      </c>
      <c r="T248" s="3">
        <f t="shared" si="30"/>
        <v>0.1</v>
      </c>
      <c r="U248" s="1" t="s">
        <v>1812</v>
      </c>
      <c r="V248" t="str">
        <f t="shared" si="31"/>
        <v>2R9*0,5</v>
      </c>
      <c r="W248" s="3">
        <f t="shared" si="32"/>
        <v>2.2250000000000001</v>
      </c>
    </row>
    <row r="249" spans="1:23" x14ac:dyDescent="0.3">
      <c r="A249" s="6" t="e">
        <f t="shared" si="33"/>
        <v>#N/A</v>
      </c>
      <c r="B249" s="3" t="e">
        <f t="shared" si="27"/>
        <v>#N/A</v>
      </c>
      <c r="C249" s="3" t="e">
        <f t="shared" si="28"/>
        <v>#N/A</v>
      </c>
      <c r="D249" s="3" t="e">
        <f t="shared" si="25"/>
        <v>#N/A</v>
      </c>
      <c r="E249" s="3" t="e">
        <f t="shared" si="26"/>
        <v>#N/A</v>
      </c>
      <c r="O249" s="1" t="s">
        <v>1676</v>
      </c>
      <c r="P249" t="str">
        <f t="shared" si="29"/>
        <v>A4a*0,5</v>
      </c>
      <c r="Q249" s="3">
        <f t="shared" si="30"/>
        <v>0.22500000000000001</v>
      </c>
      <c r="R249" s="1" t="s">
        <v>1676</v>
      </c>
      <c r="S249" t="str">
        <f t="shared" si="29"/>
        <v>A4a*0,5</v>
      </c>
      <c r="T249" s="3">
        <f t="shared" si="30"/>
        <v>0.22500000000000001</v>
      </c>
      <c r="U249" s="1" t="s">
        <v>1812</v>
      </c>
      <c r="V249" t="str">
        <f t="shared" si="31"/>
        <v>RU9*0,5</v>
      </c>
      <c r="W249" s="3">
        <f t="shared" si="32"/>
        <v>2.6749999999999998</v>
      </c>
    </row>
    <row r="250" spans="1:23" x14ac:dyDescent="0.3">
      <c r="A250" s="6" t="e">
        <f t="shared" si="33"/>
        <v>#N/A</v>
      </c>
      <c r="B250" s="3" t="e">
        <f t="shared" si="27"/>
        <v>#N/A</v>
      </c>
      <c r="C250" s="3" t="e">
        <f t="shared" si="28"/>
        <v>#N/A</v>
      </c>
      <c r="D250" s="3" t="e">
        <f t="shared" si="25"/>
        <v>#N/A</v>
      </c>
      <c r="E250" s="3" t="e">
        <f t="shared" si="26"/>
        <v>#N/A</v>
      </c>
      <c r="O250" s="1" t="s">
        <v>1676</v>
      </c>
      <c r="P250" t="str">
        <f t="shared" si="29"/>
        <v>A4b*0,5</v>
      </c>
      <c r="Q250" s="3">
        <f t="shared" si="30"/>
        <v>0.22500000000000001</v>
      </c>
      <c r="R250" s="1" t="s">
        <v>1676</v>
      </c>
      <c r="S250" t="str">
        <f t="shared" si="29"/>
        <v>A4b*0,5</v>
      </c>
      <c r="T250" s="3">
        <f t="shared" si="30"/>
        <v>0.22500000000000001</v>
      </c>
      <c r="U250" s="1" t="s">
        <v>1812</v>
      </c>
      <c r="V250" t="str">
        <f t="shared" si="31"/>
        <v>2R10*0,5</v>
      </c>
      <c r="W250" s="3">
        <f t="shared" si="32"/>
        <v>2.4750000000000001</v>
      </c>
    </row>
    <row r="251" spans="1:23" x14ac:dyDescent="0.3">
      <c r="A251" s="6" t="e">
        <f t="shared" si="33"/>
        <v>#N/A</v>
      </c>
      <c r="B251" s="3" t="e">
        <f t="shared" si="27"/>
        <v>#N/A</v>
      </c>
      <c r="C251" s="3" t="e">
        <f t="shared" si="28"/>
        <v>#N/A</v>
      </c>
      <c r="D251" s="3" t="e">
        <f t="shared" si="25"/>
        <v>#N/A</v>
      </c>
      <c r="E251" s="3" t="e">
        <f t="shared" si="26"/>
        <v>#N/A</v>
      </c>
      <c r="O251" s="1" t="s">
        <v>1676</v>
      </c>
      <c r="P251" t="str">
        <f t="shared" si="29"/>
        <v>A5*0,5</v>
      </c>
      <c r="Q251" s="3">
        <f t="shared" si="30"/>
        <v>0.32500000000000001</v>
      </c>
      <c r="R251" s="1" t="s">
        <v>1676</v>
      </c>
      <c r="S251" t="str">
        <f t="shared" si="29"/>
        <v>A5*0,5</v>
      </c>
      <c r="T251" s="3">
        <f t="shared" si="30"/>
        <v>0.32500000000000001</v>
      </c>
      <c r="U251" s="1" t="s">
        <v>1812</v>
      </c>
      <c r="V251" t="str">
        <f t="shared" si="31"/>
        <v>RU10*0,5</v>
      </c>
      <c r="W251" s="3">
        <f t="shared" si="32"/>
        <v>2.9750000000000001</v>
      </c>
    </row>
    <row r="252" spans="1:23" x14ac:dyDescent="0.3">
      <c r="A252" s="6" t="e">
        <f t="shared" si="33"/>
        <v>#N/A</v>
      </c>
      <c r="B252" s="3" t="e">
        <f t="shared" si="27"/>
        <v>#N/A</v>
      </c>
      <c r="C252" s="3" t="e">
        <f t="shared" si="28"/>
        <v>#N/A</v>
      </c>
      <c r="D252" s="3" t="e">
        <f t="shared" si="25"/>
        <v>#N/A</v>
      </c>
      <c r="E252" s="3" t="e">
        <f t="shared" si="26"/>
        <v>#N/A</v>
      </c>
      <c r="O252" s="1" t="s">
        <v>1676</v>
      </c>
      <c r="P252" t="str">
        <f t="shared" si="29"/>
        <v>A6*0,5</v>
      </c>
      <c r="Q252" s="3">
        <f t="shared" si="30"/>
        <v>0.57499999999999996</v>
      </c>
      <c r="R252" s="1" t="s">
        <v>1676</v>
      </c>
      <c r="S252" t="str">
        <f t="shared" si="29"/>
        <v>A6*0,5</v>
      </c>
      <c r="T252" s="3">
        <f t="shared" si="30"/>
        <v>0.57499999999999996</v>
      </c>
      <c r="U252" s="1" t="s">
        <v>1676</v>
      </c>
      <c r="V252" t="str">
        <f t="shared" si="31"/>
        <v>AB*0,5</v>
      </c>
      <c r="W252" s="3">
        <f t="shared" si="32"/>
        <v>2.5000000000000001E-2</v>
      </c>
    </row>
    <row r="253" spans="1:23" x14ac:dyDescent="0.3">
      <c r="A253" s="6" t="e">
        <f t="shared" si="33"/>
        <v>#N/A</v>
      </c>
      <c r="B253" s="3" t="e">
        <f t="shared" si="27"/>
        <v>#N/A</v>
      </c>
      <c r="C253" s="3" t="e">
        <f t="shared" si="28"/>
        <v>#N/A</v>
      </c>
      <c r="D253" s="3" t="e">
        <f t="shared" si="25"/>
        <v>#N/A</v>
      </c>
      <c r="E253" s="3" t="e">
        <f t="shared" si="26"/>
        <v>#N/A</v>
      </c>
      <c r="O253" s="1" t="s">
        <v>1676</v>
      </c>
      <c r="P253" t="str">
        <f t="shared" si="29"/>
        <v>A7*0,5</v>
      </c>
      <c r="Q253" s="3">
        <f t="shared" si="30"/>
        <v>0.72499999999999998</v>
      </c>
      <c r="R253" s="1" t="s">
        <v>1676</v>
      </c>
      <c r="S253" t="str">
        <f t="shared" si="29"/>
        <v>A7*0,5</v>
      </c>
      <c r="T253" s="3">
        <f t="shared" si="30"/>
        <v>0.72499999999999998</v>
      </c>
      <c r="U253" s="1" t="s">
        <v>1676</v>
      </c>
      <c r="V253" t="str">
        <f t="shared" si="31"/>
        <v>A1a*0,5</v>
      </c>
      <c r="W253" s="3">
        <f t="shared" si="32"/>
        <v>0.05</v>
      </c>
    </row>
    <row r="254" spans="1:23" x14ac:dyDescent="0.3">
      <c r="A254" s="6" t="e">
        <f t="shared" si="33"/>
        <v>#N/A</v>
      </c>
      <c r="B254" s="3" t="e">
        <f t="shared" si="27"/>
        <v>#N/A</v>
      </c>
      <c r="C254" s="3" t="e">
        <f t="shared" si="28"/>
        <v>#N/A</v>
      </c>
      <c r="D254" s="3" t="e">
        <f t="shared" si="25"/>
        <v>#N/A</v>
      </c>
      <c r="E254" s="3" t="e">
        <f t="shared" si="26"/>
        <v>#N/A</v>
      </c>
      <c r="O254" s="1" t="s">
        <v>1676</v>
      </c>
      <c r="P254" t="str">
        <f t="shared" si="29"/>
        <v>A8*0,5</v>
      </c>
      <c r="Q254" s="3">
        <f t="shared" si="30"/>
        <v>0.82499999999999996</v>
      </c>
      <c r="R254" s="1" t="s">
        <v>1676</v>
      </c>
      <c r="S254" t="str">
        <f t="shared" si="29"/>
        <v>A8*0,5</v>
      </c>
      <c r="T254" s="3">
        <f t="shared" si="30"/>
        <v>0.82499999999999996</v>
      </c>
      <c r="U254" s="1" t="s">
        <v>1676</v>
      </c>
      <c r="V254" t="str">
        <f t="shared" si="31"/>
        <v>A1b*0,5</v>
      </c>
      <c r="W254" s="3">
        <f t="shared" si="32"/>
        <v>0.05</v>
      </c>
    </row>
    <row r="255" spans="1:23" x14ac:dyDescent="0.3">
      <c r="A255" s="6" t="e">
        <f t="shared" si="33"/>
        <v>#N/A</v>
      </c>
      <c r="B255" s="3" t="e">
        <f t="shared" si="27"/>
        <v>#N/A</v>
      </c>
      <c r="C255" s="3" t="e">
        <f t="shared" si="28"/>
        <v>#N/A</v>
      </c>
      <c r="D255" s="3" t="e">
        <f t="shared" si="25"/>
        <v>#N/A</v>
      </c>
      <c r="E255" s="3" t="e">
        <f t="shared" si="26"/>
        <v>#N/A</v>
      </c>
      <c r="O255" s="1" t="s">
        <v>631</v>
      </c>
      <c r="P255" t="str">
        <f t="shared" si="29"/>
        <v>FB*0,5</v>
      </c>
      <c r="Q255" s="3">
        <f t="shared" si="30"/>
        <v>2.5000000000000001E-2</v>
      </c>
      <c r="R255" s="1" t="s">
        <v>631</v>
      </c>
      <c r="S255" t="str">
        <f t="shared" si="29"/>
        <v>FB*0,5</v>
      </c>
      <c r="T255" s="3">
        <f t="shared" si="30"/>
        <v>2.5000000000000001E-2</v>
      </c>
      <c r="U255" s="1" t="s">
        <v>1676</v>
      </c>
      <c r="V255" t="str">
        <f t="shared" si="31"/>
        <v>A1c*0,5</v>
      </c>
      <c r="W255" s="3">
        <f t="shared" si="32"/>
        <v>0.05</v>
      </c>
    </row>
    <row r="256" spans="1:23" x14ac:dyDescent="0.3">
      <c r="A256" s="6" t="e">
        <f t="shared" si="33"/>
        <v>#N/A</v>
      </c>
      <c r="B256" s="3" t="e">
        <f t="shared" si="27"/>
        <v>#N/A</v>
      </c>
      <c r="C256" s="3" t="e">
        <f t="shared" si="28"/>
        <v>#N/A</v>
      </c>
      <c r="D256" s="3" t="e">
        <f t="shared" si="25"/>
        <v>#N/A</v>
      </c>
      <c r="E256" s="3" t="e">
        <f t="shared" si="26"/>
        <v>#N/A</v>
      </c>
      <c r="O256" s="1" t="s">
        <v>631</v>
      </c>
      <c r="P256" t="str">
        <f t="shared" si="29"/>
        <v>F1a*0,5</v>
      </c>
      <c r="Q256" s="3">
        <f t="shared" si="30"/>
        <v>0.05</v>
      </c>
      <c r="R256" s="1" t="s">
        <v>631</v>
      </c>
      <c r="S256" t="str">
        <f t="shared" si="29"/>
        <v>F1a*0,5</v>
      </c>
      <c r="T256" s="3">
        <f t="shared" si="30"/>
        <v>0.05</v>
      </c>
      <c r="U256" s="1" t="s">
        <v>1676</v>
      </c>
      <c r="V256" t="str">
        <f t="shared" si="31"/>
        <v>A1d*0,5</v>
      </c>
      <c r="W256" s="3">
        <f t="shared" si="32"/>
        <v>0.05</v>
      </c>
    </row>
    <row r="257" spans="1:23" x14ac:dyDescent="0.3">
      <c r="A257" s="6" t="e">
        <f t="shared" si="33"/>
        <v>#N/A</v>
      </c>
      <c r="B257" s="3" t="e">
        <f t="shared" si="27"/>
        <v>#N/A</v>
      </c>
      <c r="C257" s="3" t="e">
        <f t="shared" si="28"/>
        <v>#N/A</v>
      </c>
      <c r="D257" s="3" t="e">
        <f t="shared" si="25"/>
        <v>#N/A</v>
      </c>
      <c r="E257" s="3" t="e">
        <f t="shared" si="26"/>
        <v>#N/A</v>
      </c>
      <c r="O257" s="1" t="s">
        <v>631</v>
      </c>
      <c r="P257" t="str">
        <f t="shared" si="29"/>
        <v>F1b*0,5</v>
      </c>
      <c r="Q257" s="3">
        <f t="shared" si="30"/>
        <v>0.05</v>
      </c>
      <c r="R257" s="1" t="s">
        <v>631</v>
      </c>
      <c r="S257" t="str">
        <f t="shared" si="29"/>
        <v>F1b*0,5</v>
      </c>
      <c r="T257" s="3">
        <f t="shared" si="30"/>
        <v>0.05</v>
      </c>
      <c r="U257" s="1" t="s">
        <v>1676</v>
      </c>
      <c r="V257" t="str">
        <f t="shared" si="31"/>
        <v>A2a*0,5</v>
      </c>
      <c r="W257" s="3">
        <f t="shared" si="32"/>
        <v>7.4999999999999997E-2</v>
      </c>
    </row>
    <row r="258" spans="1:23" x14ac:dyDescent="0.3">
      <c r="A258" s="6" t="e">
        <f t="shared" si="33"/>
        <v>#N/A</v>
      </c>
      <c r="B258" s="3" t="e">
        <f t="shared" si="27"/>
        <v>#N/A</v>
      </c>
      <c r="C258" s="3" t="e">
        <f t="shared" si="28"/>
        <v>#N/A</v>
      </c>
      <c r="D258" s="3" t="e">
        <f t="shared" si="25"/>
        <v>#N/A</v>
      </c>
      <c r="E258" s="3" t="e">
        <f t="shared" si="26"/>
        <v>#N/A</v>
      </c>
      <c r="O258" s="1" t="s">
        <v>631</v>
      </c>
      <c r="P258" t="str">
        <f t="shared" si="29"/>
        <v>F1c*0,5</v>
      </c>
      <c r="Q258" s="3">
        <f t="shared" si="30"/>
        <v>0.05</v>
      </c>
      <c r="R258" s="1" t="s">
        <v>631</v>
      </c>
      <c r="S258" t="str">
        <f t="shared" si="29"/>
        <v>F1c*0,5</v>
      </c>
      <c r="T258" s="3">
        <f t="shared" si="30"/>
        <v>0.05</v>
      </c>
      <c r="U258" s="1" t="s">
        <v>1676</v>
      </c>
      <c r="V258" t="str">
        <f t="shared" si="31"/>
        <v>A2b*0,5</v>
      </c>
      <c r="W258" s="3">
        <f t="shared" si="32"/>
        <v>7.4999999999999997E-2</v>
      </c>
    </row>
    <row r="259" spans="1:23" x14ac:dyDescent="0.3">
      <c r="A259" s="6" t="e">
        <f t="shared" si="33"/>
        <v>#N/A</v>
      </c>
      <c r="B259" s="3" t="e">
        <f t="shared" si="27"/>
        <v>#N/A</v>
      </c>
      <c r="C259" s="3" t="e">
        <f t="shared" si="28"/>
        <v>#N/A</v>
      </c>
      <c r="D259" s="3" t="e">
        <f t="shared" si="25"/>
        <v>#N/A</v>
      </c>
      <c r="E259" s="3" t="e">
        <f t="shared" si="26"/>
        <v>#N/A</v>
      </c>
      <c r="O259" s="1" t="s">
        <v>631</v>
      </c>
      <c r="P259" t="str">
        <f t="shared" si="29"/>
        <v>F2a*0,5</v>
      </c>
      <c r="Q259" s="3">
        <f t="shared" si="30"/>
        <v>0.1</v>
      </c>
      <c r="R259" s="1" t="s">
        <v>631</v>
      </c>
      <c r="S259" t="str">
        <f t="shared" si="29"/>
        <v>F2a*0,5</v>
      </c>
      <c r="T259" s="3">
        <f t="shared" si="30"/>
        <v>0.1</v>
      </c>
      <c r="U259" s="1" t="s">
        <v>1676</v>
      </c>
      <c r="V259" t="str">
        <f t="shared" si="31"/>
        <v>A3a*0,5</v>
      </c>
      <c r="W259" s="3">
        <f t="shared" si="32"/>
        <v>0.1</v>
      </c>
    </row>
    <row r="260" spans="1:23" x14ac:dyDescent="0.3">
      <c r="A260" s="6" t="e">
        <f t="shared" si="33"/>
        <v>#N/A</v>
      </c>
      <c r="B260" s="3" t="e">
        <f t="shared" si="27"/>
        <v>#N/A</v>
      </c>
      <c r="C260" s="3" t="e">
        <f t="shared" si="28"/>
        <v>#N/A</v>
      </c>
      <c r="D260" s="3" t="e">
        <f t="shared" si="25"/>
        <v>#N/A</v>
      </c>
      <c r="E260" s="3" t="e">
        <f t="shared" si="26"/>
        <v>#N/A</v>
      </c>
      <c r="O260" s="1" t="s">
        <v>631</v>
      </c>
      <c r="P260" t="str">
        <f t="shared" si="29"/>
        <v>F2b*0,5</v>
      </c>
      <c r="Q260" s="3">
        <f t="shared" si="30"/>
        <v>0.1</v>
      </c>
      <c r="R260" s="1" t="s">
        <v>631</v>
      </c>
      <c r="S260" t="str">
        <f t="shared" si="29"/>
        <v>F2b*0,5</v>
      </c>
      <c r="T260" s="3">
        <f t="shared" si="30"/>
        <v>0.1</v>
      </c>
      <c r="U260" s="1" t="s">
        <v>1676</v>
      </c>
      <c r="V260" t="str">
        <f t="shared" si="31"/>
        <v>A3b*0,5</v>
      </c>
      <c r="W260" s="3">
        <f t="shared" si="32"/>
        <v>0.1</v>
      </c>
    </row>
    <row r="261" spans="1:23" x14ac:dyDescent="0.3">
      <c r="A261" s="6" t="e">
        <f t="shared" si="33"/>
        <v>#N/A</v>
      </c>
      <c r="B261" s="3" t="e">
        <f t="shared" si="27"/>
        <v>#N/A</v>
      </c>
      <c r="C261" s="3" t="e">
        <f t="shared" si="28"/>
        <v>#N/A</v>
      </c>
      <c r="D261" s="3" t="e">
        <f t="shared" ref="D261:D324" si="34">IF($D$1="Team",IF(AD260="","",AD260),"")</f>
        <v>#N/A</v>
      </c>
      <c r="E261" s="3" t="e">
        <f t="shared" ref="E261:E324" si="35">IF($D$1="Team",IF(AE260="","",AE260),"")</f>
        <v>#N/A</v>
      </c>
      <c r="O261" s="1" t="s">
        <v>631</v>
      </c>
      <c r="P261" t="str">
        <f t="shared" si="29"/>
        <v>F2c*0,5</v>
      </c>
      <c r="Q261" s="3">
        <f t="shared" si="30"/>
        <v>0.1</v>
      </c>
      <c r="R261" s="1" t="s">
        <v>631</v>
      </c>
      <c r="S261" t="str">
        <f t="shared" si="29"/>
        <v>F2c*0,5</v>
      </c>
      <c r="T261" s="3">
        <f t="shared" si="30"/>
        <v>0.1</v>
      </c>
      <c r="U261" s="1" t="s">
        <v>1676</v>
      </c>
      <c r="V261" t="str">
        <f t="shared" si="31"/>
        <v>A4a*0,5</v>
      </c>
      <c r="W261" s="3">
        <f t="shared" si="32"/>
        <v>0.22500000000000001</v>
      </c>
    </row>
    <row r="262" spans="1:23" x14ac:dyDescent="0.3">
      <c r="A262" s="6" t="e">
        <f t="shared" si="33"/>
        <v>#N/A</v>
      </c>
      <c r="B262" s="3" t="e">
        <f t="shared" si="27"/>
        <v>#N/A</v>
      </c>
      <c r="C262" s="3" t="e">
        <f t="shared" si="28"/>
        <v>#N/A</v>
      </c>
      <c r="D262" s="3" t="e">
        <f t="shared" si="34"/>
        <v>#N/A</v>
      </c>
      <c r="E262" s="3" t="e">
        <f t="shared" si="35"/>
        <v>#N/A</v>
      </c>
      <c r="O262" s="1" t="s">
        <v>631</v>
      </c>
      <c r="P262" t="str">
        <f t="shared" si="29"/>
        <v>F3a*0,5</v>
      </c>
      <c r="Q262" s="3">
        <f t="shared" si="30"/>
        <v>0.15</v>
      </c>
      <c r="R262" s="1" t="s">
        <v>631</v>
      </c>
      <c r="S262" t="str">
        <f t="shared" si="29"/>
        <v>F3a*0,5</v>
      </c>
      <c r="T262" s="3">
        <f t="shared" si="30"/>
        <v>0.15</v>
      </c>
      <c r="U262" s="1" t="s">
        <v>1676</v>
      </c>
      <c r="V262" t="str">
        <f t="shared" si="31"/>
        <v>A4b*0,5</v>
      </c>
      <c r="W262" s="3">
        <f t="shared" si="32"/>
        <v>0.22500000000000001</v>
      </c>
    </row>
    <row r="263" spans="1:23" x14ac:dyDescent="0.3">
      <c r="A263" s="6" t="e">
        <f t="shared" si="33"/>
        <v>#N/A</v>
      </c>
      <c r="B263" s="3" t="e">
        <f t="shared" si="27"/>
        <v>#N/A</v>
      </c>
      <c r="C263" s="3" t="e">
        <f t="shared" si="28"/>
        <v>#N/A</v>
      </c>
      <c r="D263" s="3" t="e">
        <f t="shared" si="34"/>
        <v>#N/A</v>
      </c>
      <c r="E263" s="3" t="e">
        <f t="shared" si="35"/>
        <v>#N/A</v>
      </c>
      <c r="O263" s="1" t="s">
        <v>631</v>
      </c>
      <c r="P263" t="str">
        <f t="shared" si="29"/>
        <v>F3b*0,5</v>
      </c>
      <c r="Q263" s="3">
        <f t="shared" si="30"/>
        <v>0.15</v>
      </c>
      <c r="R263" s="1" t="s">
        <v>631</v>
      </c>
      <c r="S263" t="str">
        <f t="shared" si="29"/>
        <v>F3b*0,5</v>
      </c>
      <c r="T263" s="3">
        <f t="shared" si="30"/>
        <v>0.15</v>
      </c>
      <c r="U263" s="1" t="s">
        <v>1676</v>
      </c>
      <c r="V263" t="str">
        <f t="shared" si="31"/>
        <v>A5*0,5</v>
      </c>
      <c r="W263" s="3">
        <f t="shared" si="32"/>
        <v>0.32500000000000001</v>
      </c>
    </row>
    <row r="264" spans="1:23" x14ac:dyDescent="0.3">
      <c r="A264" s="6" t="e">
        <f t="shared" si="33"/>
        <v>#N/A</v>
      </c>
      <c r="B264" s="3" t="e">
        <f t="shared" si="27"/>
        <v>#N/A</v>
      </c>
      <c r="C264" s="3" t="e">
        <f t="shared" si="28"/>
        <v>#N/A</v>
      </c>
      <c r="D264" s="3" t="e">
        <f t="shared" si="34"/>
        <v>#N/A</v>
      </c>
      <c r="E264" s="3" t="e">
        <f t="shared" si="35"/>
        <v>#N/A</v>
      </c>
      <c r="O264" s="1" t="s">
        <v>631</v>
      </c>
      <c r="P264" t="str">
        <f t="shared" si="29"/>
        <v>F3c*0,5</v>
      </c>
      <c r="Q264" s="3">
        <f t="shared" si="30"/>
        <v>0.15</v>
      </c>
      <c r="R264" s="1" t="s">
        <v>631</v>
      </c>
      <c r="S264" t="str">
        <f t="shared" si="29"/>
        <v>F3c*0,5</v>
      </c>
      <c r="T264" s="3">
        <f t="shared" si="30"/>
        <v>0.15</v>
      </c>
      <c r="U264" s="1" t="s">
        <v>1676</v>
      </c>
      <c r="V264" t="str">
        <f t="shared" si="31"/>
        <v>A6*0,5</v>
      </c>
      <c r="W264" s="3">
        <f t="shared" si="32"/>
        <v>0.57499999999999996</v>
      </c>
    </row>
    <row r="265" spans="1:23" x14ac:dyDescent="0.3">
      <c r="A265" s="6" t="e">
        <f t="shared" si="33"/>
        <v>#N/A</v>
      </c>
      <c r="B265" s="3" t="e">
        <f t="shared" ref="B265:B328" si="36">IF($B$1="Solo",IF(M264="","",M264),IF($B$1="Duet",IF(P264="","",P264),IF($B$1="Mixed",IF(S264="","",S264),IF(V264="","",V264))))</f>
        <v>#N/A</v>
      </c>
      <c r="C265" s="3" t="e">
        <f t="shared" ref="C265:C328" si="37">IF($B$1="Solo",IF(N264="","",N264),IF($B$1="Duet",IF(Q264="","",Q264),IF($B$1="Mixed",IF(T264="","",T264),IF(W264="","",W264))))</f>
        <v>#N/A</v>
      </c>
      <c r="D265" s="3" t="e">
        <f t="shared" si="34"/>
        <v>#N/A</v>
      </c>
      <c r="E265" s="3" t="e">
        <f t="shared" si="35"/>
        <v>#N/A</v>
      </c>
      <c r="O265" s="1" t="s">
        <v>631</v>
      </c>
      <c r="P265" t="str">
        <f t="shared" si="29"/>
        <v>F4a*0,5</v>
      </c>
      <c r="Q265" s="3">
        <f t="shared" si="30"/>
        <v>0.2</v>
      </c>
      <c r="R265" s="1" t="s">
        <v>631</v>
      </c>
      <c r="S265" t="str">
        <f t="shared" si="29"/>
        <v>F4a*0,5</v>
      </c>
      <c r="T265" s="3">
        <f t="shared" si="30"/>
        <v>0.2</v>
      </c>
      <c r="U265" s="1" t="s">
        <v>1676</v>
      </c>
      <c r="V265" t="str">
        <f t="shared" si="31"/>
        <v>A7*0,5</v>
      </c>
      <c r="W265" s="3">
        <f t="shared" si="32"/>
        <v>0.72499999999999998</v>
      </c>
    </row>
    <row r="266" spans="1:23" x14ac:dyDescent="0.3">
      <c r="A266" s="6" t="e">
        <f t="shared" si="33"/>
        <v>#N/A</v>
      </c>
      <c r="B266" s="3" t="e">
        <f t="shared" si="36"/>
        <v>#N/A</v>
      </c>
      <c r="C266" s="3" t="e">
        <f t="shared" si="37"/>
        <v>#N/A</v>
      </c>
      <c r="D266" s="3" t="e">
        <f t="shared" si="34"/>
        <v>#N/A</v>
      </c>
      <c r="E266" s="3" t="e">
        <f t="shared" si="35"/>
        <v>#N/A</v>
      </c>
      <c r="O266" s="1" t="s">
        <v>631</v>
      </c>
      <c r="P266" t="str">
        <f t="shared" si="29"/>
        <v>F4b*0,5</v>
      </c>
      <c r="Q266" s="3">
        <f t="shared" si="30"/>
        <v>0.2</v>
      </c>
      <c r="R266" s="1" t="s">
        <v>631</v>
      </c>
      <c r="S266" t="str">
        <f t="shared" si="29"/>
        <v>F4b*0,5</v>
      </c>
      <c r="T266" s="3">
        <f t="shared" si="30"/>
        <v>0.2</v>
      </c>
      <c r="U266" s="1" t="s">
        <v>1676</v>
      </c>
      <c r="V266" t="str">
        <f t="shared" si="31"/>
        <v>A8*0,5</v>
      </c>
      <c r="W266" s="3">
        <f t="shared" si="32"/>
        <v>0.82499999999999996</v>
      </c>
    </row>
    <row r="267" spans="1:23" x14ac:dyDescent="0.3">
      <c r="A267" s="6" t="e">
        <f t="shared" si="33"/>
        <v>#N/A</v>
      </c>
      <c r="B267" s="3" t="e">
        <f t="shared" si="36"/>
        <v>#N/A</v>
      </c>
      <c r="C267" s="3" t="e">
        <f t="shared" si="37"/>
        <v>#N/A</v>
      </c>
      <c r="D267" s="3" t="e">
        <f t="shared" si="34"/>
        <v>#N/A</v>
      </c>
      <c r="E267" s="3" t="e">
        <f t="shared" si="35"/>
        <v>#N/A</v>
      </c>
      <c r="O267" s="1" t="s">
        <v>631</v>
      </c>
      <c r="P267" t="str">
        <f t="shared" si="29"/>
        <v>F4c*0,5</v>
      </c>
      <c r="Q267" s="3">
        <f t="shared" si="30"/>
        <v>0.2</v>
      </c>
      <c r="R267" s="1" t="s">
        <v>631</v>
      </c>
      <c r="S267" t="str">
        <f t="shared" si="29"/>
        <v>F4c*0,5</v>
      </c>
      <c r="T267" s="3">
        <f t="shared" si="30"/>
        <v>0.2</v>
      </c>
      <c r="U267" s="1" t="s">
        <v>631</v>
      </c>
      <c r="V267" t="str">
        <f t="shared" si="31"/>
        <v>FB*0,5</v>
      </c>
      <c r="W267" s="3">
        <f t="shared" si="32"/>
        <v>2.5000000000000001E-2</v>
      </c>
    </row>
    <row r="268" spans="1:23" x14ac:dyDescent="0.3">
      <c r="A268" s="6" t="e">
        <f t="shared" si="33"/>
        <v>#N/A</v>
      </c>
      <c r="B268" s="3" t="e">
        <f t="shared" si="36"/>
        <v>#N/A</v>
      </c>
      <c r="C268" s="3" t="e">
        <f t="shared" si="37"/>
        <v>#N/A</v>
      </c>
      <c r="D268" s="3" t="e">
        <f t="shared" si="34"/>
        <v>#N/A</v>
      </c>
      <c r="E268" s="3" t="e">
        <f t="shared" si="35"/>
        <v>#N/A</v>
      </c>
      <c r="O268" s="1" t="s">
        <v>631</v>
      </c>
      <c r="P268" t="str">
        <f t="shared" si="29"/>
        <v>F4d*0,5</v>
      </c>
      <c r="Q268" s="3">
        <f t="shared" si="30"/>
        <v>0.2</v>
      </c>
      <c r="R268" s="1" t="s">
        <v>631</v>
      </c>
      <c r="S268" t="str">
        <f t="shared" si="29"/>
        <v>F4d*0,5</v>
      </c>
      <c r="T268" s="3">
        <f t="shared" si="30"/>
        <v>0.2</v>
      </c>
      <c r="U268" s="1" t="s">
        <v>631</v>
      </c>
      <c r="V268" t="str">
        <f t="shared" si="31"/>
        <v>F1a*0,5</v>
      </c>
      <c r="W268" s="3">
        <f t="shared" si="32"/>
        <v>0.05</v>
      </c>
    </row>
    <row r="269" spans="1:23" x14ac:dyDescent="0.3">
      <c r="A269" s="6" t="e">
        <f t="shared" si="33"/>
        <v>#N/A</v>
      </c>
      <c r="B269" s="3" t="e">
        <f t="shared" si="36"/>
        <v>#N/A</v>
      </c>
      <c r="C269" s="3" t="e">
        <f t="shared" si="37"/>
        <v>#N/A</v>
      </c>
      <c r="D269" s="3" t="e">
        <f t="shared" si="34"/>
        <v>#N/A</v>
      </c>
      <c r="E269" s="3" t="e">
        <f t="shared" si="35"/>
        <v>#N/A</v>
      </c>
      <c r="O269" s="1" t="s">
        <v>631</v>
      </c>
      <c r="P269" t="str">
        <f t="shared" si="29"/>
        <v>F4e*0,5</v>
      </c>
      <c r="Q269" s="3">
        <f t="shared" si="30"/>
        <v>0.2</v>
      </c>
      <c r="R269" s="1" t="s">
        <v>631</v>
      </c>
      <c r="S269" t="str">
        <f t="shared" si="29"/>
        <v>F4e*0,5</v>
      </c>
      <c r="T269" s="3">
        <f t="shared" si="30"/>
        <v>0.2</v>
      </c>
      <c r="U269" s="1" t="s">
        <v>631</v>
      </c>
      <c r="V269" t="str">
        <f t="shared" si="31"/>
        <v>F1b*0,5</v>
      </c>
      <c r="W269" s="3">
        <f t="shared" si="32"/>
        <v>0.05</v>
      </c>
    </row>
    <row r="270" spans="1:23" x14ac:dyDescent="0.3">
      <c r="A270" s="6" t="e">
        <f t="shared" si="33"/>
        <v>#N/A</v>
      </c>
      <c r="B270" s="3" t="e">
        <f t="shared" si="36"/>
        <v>#N/A</v>
      </c>
      <c r="C270" s="3" t="e">
        <f t="shared" si="37"/>
        <v>#N/A</v>
      </c>
      <c r="D270" s="3" t="e">
        <f t="shared" si="34"/>
        <v>#N/A</v>
      </c>
      <c r="E270" s="3" t="e">
        <f t="shared" si="35"/>
        <v>#N/A</v>
      </c>
      <c r="O270" s="1" t="s">
        <v>631</v>
      </c>
      <c r="P270" t="str">
        <f t="shared" si="29"/>
        <v>F4f*0,5</v>
      </c>
      <c r="Q270" s="3">
        <f t="shared" si="30"/>
        <v>0.2</v>
      </c>
      <c r="R270" s="1" t="s">
        <v>631</v>
      </c>
      <c r="S270" t="str">
        <f t="shared" si="29"/>
        <v>F4f*0,5</v>
      </c>
      <c r="T270" s="3">
        <f t="shared" si="30"/>
        <v>0.2</v>
      </c>
      <c r="U270" s="1" t="s">
        <v>631</v>
      </c>
      <c r="V270" t="str">
        <f t="shared" si="31"/>
        <v>F1c*0,5</v>
      </c>
      <c r="W270" s="3">
        <f t="shared" si="32"/>
        <v>0.05</v>
      </c>
    </row>
    <row r="271" spans="1:23" x14ac:dyDescent="0.3">
      <c r="A271" s="6" t="e">
        <f t="shared" si="33"/>
        <v>#N/A</v>
      </c>
      <c r="B271" s="3" t="e">
        <f t="shared" si="36"/>
        <v>#N/A</v>
      </c>
      <c r="C271" s="3" t="e">
        <f t="shared" si="37"/>
        <v>#N/A</v>
      </c>
      <c r="D271" s="3" t="e">
        <f t="shared" si="34"/>
        <v>#N/A</v>
      </c>
      <c r="E271" s="3" t="e">
        <f t="shared" si="35"/>
        <v>#N/A</v>
      </c>
      <c r="O271" s="1" t="s">
        <v>631</v>
      </c>
      <c r="P271" t="str">
        <f t="shared" si="29"/>
        <v>F5a*0,5</v>
      </c>
      <c r="Q271" s="3">
        <f t="shared" si="30"/>
        <v>0.25</v>
      </c>
      <c r="R271" s="1" t="s">
        <v>631</v>
      </c>
      <c r="S271" t="str">
        <f t="shared" si="29"/>
        <v>F5a*0,5</v>
      </c>
      <c r="T271" s="3">
        <f t="shared" si="30"/>
        <v>0.25</v>
      </c>
      <c r="U271" s="1" t="s">
        <v>631</v>
      </c>
      <c r="V271" t="str">
        <f t="shared" si="31"/>
        <v>F2a*0,5</v>
      </c>
      <c r="W271" s="3">
        <f t="shared" si="32"/>
        <v>0.1</v>
      </c>
    </row>
    <row r="272" spans="1:23" x14ac:dyDescent="0.3">
      <c r="A272" s="6" t="e">
        <f t="shared" si="33"/>
        <v>#N/A</v>
      </c>
      <c r="B272" s="3" t="e">
        <f t="shared" si="36"/>
        <v>#N/A</v>
      </c>
      <c r="C272" s="3" t="e">
        <f t="shared" si="37"/>
        <v>#N/A</v>
      </c>
      <c r="D272" s="3" t="e">
        <f t="shared" si="34"/>
        <v>#N/A</v>
      </c>
      <c r="E272" s="3" t="e">
        <f t="shared" si="35"/>
        <v>#N/A</v>
      </c>
      <c r="O272" s="1" t="s">
        <v>631</v>
      </c>
      <c r="P272" t="str">
        <f t="shared" si="29"/>
        <v>F5b*0,5</v>
      </c>
      <c r="Q272" s="3">
        <f t="shared" si="30"/>
        <v>0.25</v>
      </c>
      <c r="R272" s="1" t="s">
        <v>631</v>
      </c>
      <c r="S272" t="str">
        <f t="shared" si="29"/>
        <v>F5b*0,5</v>
      </c>
      <c r="T272" s="3">
        <f t="shared" si="30"/>
        <v>0.25</v>
      </c>
      <c r="U272" s="1" t="s">
        <v>631</v>
      </c>
      <c r="V272" t="str">
        <f t="shared" si="31"/>
        <v>F2b*0,5</v>
      </c>
      <c r="W272" s="3">
        <f t="shared" si="32"/>
        <v>0.1</v>
      </c>
    </row>
    <row r="273" spans="1:23" x14ac:dyDescent="0.3">
      <c r="A273" s="6" t="e">
        <f t="shared" si="33"/>
        <v>#N/A</v>
      </c>
      <c r="B273" s="3" t="e">
        <f t="shared" si="36"/>
        <v>#N/A</v>
      </c>
      <c r="C273" s="3" t="e">
        <f t="shared" si="37"/>
        <v>#N/A</v>
      </c>
      <c r="D273" s="3" t="e">
        <f t="shared" si="34"/>
        <v>#N/A</v>
      </c>
      <c r="E273" s="3" t="e">
        <f t="shared" si="35"/>
        <v>#N/A</v>
      </c>
      <c r="O273" s="1" t="s">
        <v>631</v>
      </c>
      <c r="P273" t="str">
        <f t="shared" si="29"/>
        <v>F5c*0,5</v>
      </c>
      <c r="Q273" s="3">
        <f t="shared" si="30"/>
        <v>0.25</v>
      </c>
      <c r="R273" s="1" t="s">
        <v>631</v>
      </c>
      <c r="S273" t="str">
        <f t="shared" si="29"/>
        <v>F5c*0,5</v>
      </c>
      <c r="T273" s="3">
        <f t="shared" si="30"/>
        <v>0.25</v>
      </c>
      <c r="U273" s="1" t="s">
        <v>631</v>
      </c>
      <c r="V273" t="str">
        <f t="shared" si="31"/>
        <v>F2c*0,5</v>
      </c>
      <c r="W273" s="3">
        <f t="shared" si="32"/>
        <v>0.1</v>
      </c>
    </row>
    <row r="274" spans="1:23" x14ac:dyDescent="0.3">
      <c r="A274" s="6" t="e">
        <f t="shared" si="33"/>
        <v>#N/A</v>
      </c>
      <c r="B274" s="3" t="e">
        <f t="shared" si="36"/>
        <v>#N/A</v>
      </c>
      <c r="C274" s="3" t="e">
        <f t="shared" si="37"/>
        <v>#N/A</v>
      </c>
      <c r="D274" s="3" t="e">
        <f t="shared" si="34"/>
        <v>#N/A</v>
      </c>
      <c r="E274" s="3" t="e">
        <f t="shared" si="35"/>
        <v>#N/A</v>
      </c>
      <c r="O274" s="1" t="s">
        <v>631</v>
      </c>
      <c r="P274" t="str">
        <f t="shared" si="29"/>
        <v>F6a*0,5</v>
      </c>
      <c r="Q274" s="3">
        <f t="shared" si="30"/>
        <v>0.32500000000000001</v>
      </c>
      <c r="R274" s="1" t="s">
        <v>631</v>
      </c>
      <c r="S274" t="str">
        <f t="shared" si="29"/>
        <v>F6a*0,5</v>
      </c>
      <c r="T274" s="3">
        <f t="shared" si="30"/>
        <v>0.32500000000000001</v>
      </c>
      <c r="U274" s="1" t="s">
        <v>631</v>
      </c>
      <c r="V274" t="str">
        <f t="shared" si="31"/>
        <v>F3a*0,5</v>
      </c>
      <c r="W274" s="3">
        <f t="shared" si="32"/>
        <v>0.15</v>
      </c>
    </row>
    <row r="275" spans="1:23" x14ac:dyDescent="0.3">
      <c r="A275" s="6" t="e">
        <f t="shared" si="33"/>
        <v>#N/A</v>
      </c>
      <c r="B275" s="3" t="e">
        <f t="shared" si="36"/>
        <v>#N/A</v>
      </c>
      <c r="C275" s="3" t="e">
        <f t="shared" si="37"/>
        <v>#N/A</v>
      </c>
      <c r="D275" s="3" t="e">
        <f t="shared" si="34"/>
        <v>#N/A</v>
      </c>
      <c r="E275" s="3" t="e">
        <f t="shared" si="35"/>
        <v>#N/A</v>
      </c>
      <c r="O275" s="1" t="s">
        <v>631</v>
      </c>
      <c r="P275" t="str">
        <f t="shared" si="29"/>
        <v>F6b*0,5</v>
      </c>
      <c r="Q275" s="3">
        <f t="shared" si="30"/>
        <v>0.32500000000000001</v>
      </c>
      <c r="R275" s="1" t="s">
        <v>631</v>
      </c>
      <c r="S275" t="str">
        <f t="shared" si="29"/>
        <v>F6b*0,5</v>
      </c>
      <c r="T275" s="3">
        <f t="shared" si="30"/>
        <v>0.32500000000000001</v>
      </c>
      <c r="U275" s="1" t="s">
        <v>631</v>
      </c>
      <c r="V275" t="str">
        <f t="shared" si="31"/>
        <v>F3b*0,5</v>
      </c>
      <c r="W275" s="3">
        <f t="shared" si="32"/>
        <v>0.15</v>
      </c>
    </row>
    <row r="276" spans="1:23" x14ac:dyDescent="0.3">
      <c r="A276" s="6" t="e">
        <f t="shared" si="33"/>
        <v>#N/A</v>
      </c>
      <c r="B276" s="3" t="e">
        <f t="shared" si="36"/>
        <v>#N/A</v>
      </c>
      <c r="C276" s="3" t="e">
        <f t="shared" si="37"/>
        <v>#N/A</v>
      </c>
      <c r="D276" s="3" t="e">
        <f t="shared" si="34"/>
        <v>#N/A</v>
      </c>
      <c r="E276" s="3" t="e">
        <f t="shared" si="35"/>
        <v>#N/A</v>
      </c>
      <c r="O276" s="1" t="s">
        <v>631</v>
      </c>
      <c r="P276" t="str">
        <f t="shared" si="29"/>
        <v>F6c*0,5</v>
      </c>
      <c r="Q276" s="3">
        <f t="shared" si="30"/>
        <v>0.32500000000000001</v>
      </c>
      <c r="R276" s="1" t="s">
        <v>631</v>
      </c>
      <c r="S276" t="str">
        <f t="shared" si="29"/>
        <v>F6c*0,5</v>
      </c>
      <c r="T276" s="3">
        <f t="shared" si="30"/>
        <v>0.32500000000000001</v>
      </c>
      <c r="U276" s="1" t="s">
        <v>631</v>
      </c>
      <c r="V276" t="str">
        <f t="shared" si="31"/>
        <v>F3c*0,5</v>
      </c>
      <c r="W276" s="3">
        <f t="shared" si="32"/>
        <v>0.15</v>
      </c>
    </row>
    <row r="277" spans="1:23" x14ac:dyDescent="0.3">
      <c r="A277" s="6" t="e">
        <f t="shared" si="33"/>
        <v>#N/A</v>
      </c>
      <c r="B277" s="3" t="e">
        <f t="shared" si="36"/>
        <v>#N/A</v>
      </c>
      <c r="C277" s="3" t="e">
        <f t="shared" si="37"/>
        <v>#N/A</v>
      </c>
      <c r="D277" s="3" t="e">
        <f t="shared" si="34"/>
        <v>#N/A</v>
      </c>
      <c r="E277" s="3" t="e">
        <f t="shared" si="35"/>
        <v>#N/A</v>
      </c>
      <c r="O277" s="1" t="s">
        <v>631</v>
      </c>
      <c r="P277" t="str">
        <f t="shared" si="29"/>
        <v>F6d*0,5</v>
      </c>
      <c r="Q277" s="3">
        <f t="shared" si="30"/>
        <v>0.32500000000000001</v>
      </c>
      <c r="R277" s="1" t="s">
        <v>631</v>
      </c>
      <c r="S277" t="str">
        <f t="shared" si="29"/>
        <v>F6d*0,5</v>
      </c>
      <c r="T277" s="3">
        <f t="shared" si="30"/>
        <v>0.32500000000000001</v>
      </c>
      <c r="U277" s="1" t="s">
        <v>631</v>
      </c>
      <c r="V277" t="str">
        <f t="shared" si="31"/>
        <v>F4a*0,5</v>
      </c>
      <c r="W277" s="3">
        <f t="shared" si="32"/>
        <v>0.2</v>
      </c>
    </row>
    <row r="278" spans="1:23" x14ac:dyDescent="0.3">
      <c r="A278" s="6" t="e">
        <f t="shared" si="33"/>
        <v>#N/A</v>
      </c>
      <c r="B278" s="3" t="e">
        <f t="shared" si="36"/>
        <v>#N/A</v>
      </c>
      <c r="C278" s="3" t="e">
        <f t="shared" si="37"/>
        <v>#N/A</v>
      </c>
      <c r="D278" s="3" t="e">
        <f t="shared" si="34"/>
        <v>#N/A</v>
      </c>
      <c r="E278" s="3" t="e">
        <f t="shared" si="35"/>
        <v>#N/A</v>
      </c>
      <c r="O278" s="1" t="s">
        <v>631</v>
      </c>
      <c r="P278" t="str">
        <f t="shared" ref="P278:S294" si="38">CONCATENATE(P132,"*0,5")</f>
        <v>F7*0,5</v>
      </c>
      <c r="Q278" s="3">
        <f t="shared" ref="Q278:T294" si="39">Q132*0.5</f>
        <v>0.375</v>
      </c>
      <c r="R278" s="1" t="s">
        <v>631</v>
      </c>
      <c r="S278" t="str">
        <f t="shared" si="38"/>
        <v>F7*0,5</v>
      </c>
      <c r="T278" s="3">
        <f t="shared" si="39"/>
        <v>0.375</v>
      </c>
      <c r="U278" s="1" t="s">
        <v>631</v>
      </c>
      <c r="V278" t="str">
        <f t="shared" si="31"/>
        <v>F4b*0,5</v>
      </c>
      <c r="W278" s="3">
        <f t="shared" si="32"/>
        <v>0.2</v>
      </c>
    </row>
    <row r="279" spans="1:23" x14ac:dyDescent="0.3">
      <c r="A279" s="6" t="e">
        <f t="shared" si="33"/>
        <v>#N/A</v>
      </c>
      <c r="B279" s="3" t="e">
        <f t="shared" si="36"/>
        <v>#N/A</v>
      </c>
      <c r="C279" s="3" t="e">
        <f t="shared" si="37"/>
        <v>#N/A</v>
      </c>
      <c r="D279" s="3" t="e">
        <f t="shared" si="34"/>
        <v>#N/A</v>
      </c>
      <c r="E279" s="3" t="e">
        <f t="shared" si="35"/>
        <v>#N/A</v>
      </c>
      <c r="O279" s="1" t="s">
        <v>631</v>
      </c>
      <c r="P279" t="str">
        <f t="shared" si="38"/>
        <v>F8a*0,5</v>
      </c>
      <c r="Q279" s="3">
        <f t="shared" si="39"/>
        <v>0.45</v>
      </c>
      <c r="R279" s="1" t="s">
        <v>631</v>
      </c>
      <c r="S279" t="str">
        <f t="shared" si="38"/>
        <v>F8a*0,5</v>
      </c>
      <c r="T279" s="3">
        <f t="shared" si="39"/>
        <v>0.45</v>
      </c>
      <c r="U279" s="1" t="s">
        <v>631</v>
      </c>
      <c r="V279" t="str">
        <f t="shared" si="31"/>
        <v>F4c*0,5</v>
      </c>
      <c r="W279" s="3">
        <f t="shared" si="32"/>
        <v>0.2</v>
      </c>
    </row>
    <row r="280" spans="1:23" x14ac:dyDescent="0.3">
      <c r="A280" s="6" t="e">
        <f t="shared" si="33"/>
        <v>#N/A</v>
      </c>
      <c r="B280" s="3" t="e">
        <f t="shared" si="36"/>
        <v>#N/A</v>
      </c>
      <c r="C280" s="3" t="e">
        <f t="shared" si="37"/>
        <v>#N/A</v>
      </c>
      <c r="D280" s="3" t="e">
        <f t="shared" si="34"/>
        <v>#N/A</v>
      </c>
      <c r="E280" s="3" t="e">
        <f t="shared" si="35"/>
        <v>#N/A</v>
      </c>
      <c r="O280" s="1" t="s">
        <v>631</v>
      </c>
      <c r="P280" t="str">
        <f t="shared" si="38"/>
        <v>F8b*0,5</v>
      </c>
      <c r="Q280" s="3">
        <f t="shared" si="39"/>
        <v>0.45</v>
      </c>
      <c r="R280" s="1" t="s">
        <v>631</v>
      </c>
      <c r="S280" t="str">
        <f t="shared" si="38"/>
        <v>F8b*0,5</v>
      </c>
      <c r="T280" s="3">
        <f t="shared" si="39"/>
        <v>0.45</v>
      </c>
      <c r="U280" s="1" t="s">
        <v>631</v>
      </c>
      <c r="V280" t="str">
        <f t="shared" si="31"/>
        <v>F4d*0,5</v>
      </c>
      <c r="W280" s="3">
        <f t="shared" si="32"/>
        <v>0.2</v>
      </c>
    </row>
    <row r="281" spans="1:23" x14ac:dyDescent="0.3">
      <c r="A281" s="6" t="e">
        <f t="shared" si="33"/>
        <v>#N/A</v>
      </c>
      <c r="B281" s="3" t="e">
        <f t="shared" si="36"/>
        <v>#N/A</v>
      </c>
      <c r="C281" s="3" t="e">
        <f t="shared" si="37"/>
        <v>#N/A</v>
      </c>
      <c r="D281" s="3" t="e">
        <f t="shared" si="34"/>
        <v>#N/A</v>
      </c>
      <c r="E281" s="3" t="e">
        <f t="shared" si="35"/>
        <v>#N/A</v>
      </c>
      <c r="O281" s="1" t="s">
        <v>631</v>
      </c>
      <c r="P281" t="str">
        <f t="shared" si="38"/>
        <v>F9*0,5</v>
      </c>
      <c r="Q281" s="3">
        <f t="shared" si="39"/>
        <v>0.5</v>
      </c>
      <c r="R281" s="1" t="s">
        <v>631</v>
      </c>
      <c r="S281" t="str">
        <f t="shared" si="38"/>
        <v>F9*0,5</v>
      </c>
      <c r="T281" s="3">
        <f t="shared" si="39"/>
        <v>0.5</v>
      </c>
      <c r="U281" s="1" t="s">
        <v>631</v>
      </c>
      <c r="V281" t="str">
        <f t="shared" si="31"/>
        <v>F4e*0,5</v>
      </c>
      <c r="W281" s="3">
        <f t="shared" si="32"/>
        <v>0.2</v>
      </c>
    </row>
    <row r="282" spans="1:23" x14ac:dyDescent="0.3">
      <c r="A282" s="6" t="e">
        <f t="shared" si="33"/>
        <v>#N/A</v>
      </c>
      <c r="B282" s="3" t="e">
        <f t="shared" si="36"/>
        <v>#N/A</v>
      </c>
      <c r="C282" s="3" t="e">
        <f t="shared" si="37"/>
        <v>#N/A</v>
      </c>
      <c r="D282" s="3" t="e">
        <f t="shared" si="34"/>
        <v>#N/A</v>
      </c>
      <c r="E282" s="3" t="e">
        <f t="shared" si="35"/>
        <v>#N/A</v>
      </c>
      <c r="O282" s="1" t="s">
        <v>631</v>
      </c>
      <c r="P282" t="str">
        <f t="shared" si="38"/>
        <v>F10*0,5</v>
      </c>
      <c r="Q282" s="3">
        <f t="shared" si="39"/>
        <v>0.65</v>
      </c>
      <c r="R282" s="1" t="s">
        <v>631</v>
      </c>
      <c r="S282" t="str">
        <f t="shared" si="38"/>
        <v>F10*0,5</v>
      </c>
      <c r="T282" s="3">
        <f t="shared" si="39"/>
        <v>0.65</v>
      </c>
      <c r="U282" s="1" t="s">
        <v>631</v>
      </c>
      <c r="V282" t="str">
        <f t="shared" si="31"/>
        <v>F4f*0,5</v>
      </c>
      <c r="W282" s="3">
        <f t="shared" si="32"/>
        <v>0.2</v>
      </c>
    </row>
    <row r="283" spans="1:23" x14ac:dyDescent="0.3">
      <c r="A283" s="6" t="e">
        <f t="shared" si="33"/>
        <v>#N/A</v>
      </c>
      <c r="B283" s="3" t="e">
        <f t="shared" si="36"/>
        <v>#N/A</v>
      </c>
      <c r="C283" s="3" t="e">
        <f t="shared" si="37"/>
        <v>#N/A</v>
      </c>
      <c r="D283" s="3" t="e">
        <f t="shared" si="34"/>
        <v>#N/A</v>
      </c>
      <c r="E283" s="3" t="e">
        <f t="shared" si="35"/>
        <v>#N/A</v>
      </c>
      <c r="O283" s="1" t="s">
        <v>632</v>
      </c>
      <c r="P283" t="str">
        <f t="shared" si="38"/>
        <v>CB*0,5</v>
      </c>
      <c r="Q283" s="3">
        <f t="shared" si="39"/>
        <v>0.05</v>
      </c>
      <c r="R283" s="1" t="s">
        <v>632</v>
      </c>
      <c r="S283" t="str">
        <f t="shared" si="38"/>
        <v>CB*0,5</v>
      </c>
      <c r="T283" s="3">
        <f t="shared" si="39"/>
        <v>0.05</v>
      </c>
      <c r="U283" s="1" t="s">
        <v>631</v>
      </c>
      <c r="V283" t="str">
        <f t="shared" si="31"/>
        <v>F5a*0,5</v>
      </c>
      <c r="W283" s="3">
        <f t="shared" si="32"/>
        <v>0.25</v>
      </c>
    </row>
    <row r="284" spans="1:23" x14ac:dyDescent="0.3">
      <c r="A284" s="6" t="e">
        <f t="shared" si="33"/>
        <v>#N/A</v>
      </c>
      <c r="B284" s="3" t="e">
        <f t="shared" si="36"/>
        <v>#N/A</v>
      </c>
      <c r="C284" s="3" t="e">
        <f t="shared" si="37"/>
        <v>#N/A</v>
      </c>
      <c r="D284" s="3" t="e">
        <f t="shared" si="34"/>
        <v>#N/A</v>
      </c>
      <c r="E284" s="3" t="e">
        <f t="shared" si="35"/>
        <v>#N/A</v>
      </c>
      <c r="O284" s="1" t="s">
        <v>632</v>
      </c>
      <c r="P284" t="str">
        <f t="shared" si="38"/>
        <v>C1a*0,5</v>
      </c>
      <c r="Q284" s="3">
        <f t="shared" si="39"/>
        <v>0.1</v>
      </c>
      <c r="R284" s="1" t="s">
        <v>632</v>
      </c>
      <c r="S284" t="str">
        <f t="shared" si="38"/>
        <v>C1a*0,5</v>
      </c>
      <c r="T284" s="3">
        <f t="shared" si="39"/>
        <v>0.1</v>
      </c>
      <c r="U284" s="1" t="s">
        <v>631</v>
      </c>
      <c r="V284" t="str">
        <f t="shared" si="31"/>
        <v>F5b*0,5</v>
      </c>
      <c r="W284" s="3">
        <f t="shared" si="32"/>
        <v>0.25</v>
      </c>
    </row>
    <row r="285" spans="1:23" x14ac:dyDescent="0.3">
      <c r="A285" s="6" t="e">
        <f t="shared" si="33"/>
        <v>#N/A</v>
      </c>
      <c r="B285" s="3" t="e">
        <f t="shared" si="36"/>
        <v>#N/A</v>
      </c>
      <c r="C285" s="3" t="e">
        <f t="shared" si="37"/>
        <v>#N/A</v>
      </c>
      <c r="D285" s="3" t="e">
        <f t="shared" si="34"/>
        <v>#N/A</v>
      </c>
      <c r="E285" s="3" t="e">
        <f t="shared" si="35"/>
        <v>#N/A</v>
      </c>
      <c r="O285" s="1" t="s">
        <v>632</v>
      </c>
      <c r="P285" t="str">
        <f t="shared" si="38"/>
        <v>C1b*0,5</v>
      </c>
      <c r="Q285" s="3">
        <f t="shared" si="39"/>
        <v>0.1</v>
      </c>
      <c r="R285" s="1" t="s">
        <v>632</v>
      </c>
      <c r="S285" t="str">
        <f t="shared" si="38"/>
        <v>C1b*0,5</v>
      </c>
      <c r="T285" s="3">
        <f t="shared" si="39"/>
        <v>0.1</v>
      </c>
      <c r="U285" s="1" t="s">
        <v>631</v>
      </c>
      <c r="V285" t="str">
        <f t="shared" si="31"/>
        <v>F5c*0,5</v>
      </c>
      <c r="W285" s="3">
        <f t="shared" si="32"/>
        <v>0.25</v>
      </c>
    </row>
    <row r="286" spans="1:23" x14ac:dyDescent="0.3">
      <c r="A286" s="6" t="e">
        <f t="shared" si="33"/>
        <v>#N/A</v>
      </c>
      <c r="B286" s="3" t="e">
        <f t="shared" si="36"/>
        <v>#N/A</v>
      </c>
      <c r="C286" s="3" t="e">
        <f t="shared" si="37"/>
        <v>#N/A</v>
      </c>
      <c r="D286" s="3" t="e">
        <f t="shared" si="34"/>
        <v>#N/A</v>
      </c>
      <c r="E286" s="3" t="e">
        <f t="shared" si="35"/>
        <v>#N/A</v>
      </c>
      <c r="O286" s="1" t="s">
        <v>632</v>
      </c>
      <c r="P286" t="str">
        <f t="shared" si="38"/>
        <v>C2a*0,5</v>
      </c>
      <c r="Q286" s="3">
        <f t="shared" si="39"/>
        <v>0.15</v>
      </c>
      <c r="R286" s="1" t="s">
        <v>632</v>
      </c>
      <c r="S286" t="str">
        <f t="shared" si="38"/>
        <v>C2a*0,5</v>
      </c>
      <c r="T286" s="3">
        <f t="shared" si="39"/>
        <v>0.15</v>
      </c>
      <c r="U286" s="1" t="s">
        <v>631</v>
      </c>
      <c r="V286" t="str">
        <f t="shared" si="31"/>
        <v>F6a*0,5</v>
      </c>
      <c r="W286" s="3">
        <f t="shared" si="32"/>
        <v>0.32500000000000001</v>
      </c>
    </row>
    <row r="287" spans="1:23" x14ac:dyDescent="0.3">
      <c r="A287" s="6" t="e">
        <f t="shared" si="33"/>
        <v>#N/A</v>
      </c>
      <c r="B287" s="3" t="e">
        <f t="shared" si="36"/>
        <v>#N/A</v>
      </c>
      <c r="C287" s="3" t="e">
        <f t="shared" si="37"/>
        <v>#N/A</v>
      </c>
      <c r="D287" s="3" t="e">
        <f t="shared" si="34"/>
        <v>#N/A</v>
      </c>
      <c r="E287" s="3" t="e">
        <f t="shared" si="35"/>
        <v>#N/A</v>
      </c>
      <c r="O287" s="1" t="s">
        <v>632</v>
      </c>
      <c r="P287" t="str">
        <f t="shared" si="38"/>
        <v>C2b*0,5</v>
      </c>
      <c r="Q287" s="3">
        <f t="shared" si="39"/>
        <v>0.15</v>
      </c>
      <c r="R287" s="1" t="s">
        <v>632</v>
      </c>
      <c r="S287" t="str">
        <f t="shared" si="38"/>
        <v>C2b*0,5</v>
      </c>
      <c r="T287" s="3">
        <f t="shared" si="39"/>
        <v>0.15</v>
      </c>
      <c r="U287" s="1" t="s">
        <v>631</v>
      </c>
      <c r="V287" t="str">
        <f t="shared" si="31"/>
        <v>F6b*0,5</v>
      </c>
      <c r="W287" s="3">
        <f t="shared" si="32"/>
        <v>0.32500000000000001</v>
      </c>
    </row>
    <row r="288" spans="1:23" x14ac:dyDescent="0.3">
      <c r="A288" s="6" t="e">
        <f t="shared" si="33"/>
        <v>#N/A</v>
      </c>
      <c r="B288" s="3" t="e">
        <f t="shared" si="36"/>
        <v>#N/A</v>
      </c>
      <c r="C288" s="3" t="e">
        <f t="shared" si="37"/>
        <v>#N/A</v>
      </c>
      <c r="D288" s="3" t="e">
        <f t="shared" si="34"/>
        <v>#N/A</v>
      </c>
      <c r="E288" s="3" t="e">
        <f t="shared" si="35"/>
        <v>#N/A</v>
      </c>
      <c r="O288" s="1" t="s">
        <v>632</v>
      </c>
      <c r="P288" t="str">
        <f t="shared" si="38"/>
        <v>C2c*0,5</v>
      </c>
      <c r="Q288" s="3">
        <f t="shared" si="39"/>
        <v>0.15</v>
      </c>
      <c r="R288" s="1" t="s">
        <v>632</v>
      </c>
      <c r="S288" t="str">
        <f t="shared" si="38"/>
        <v>C2c*0,5</v>
      </c>
      <c r="T288" s="3">
        <f t="shared" si="39"/>
        <v>0.15</v>
      </c>
      <c r="U288" s="1" t="s">
        <v>631</v>
      </c>
      <c r="V288" t="str">
        <f t="shared" si="31"/>
        <v>F6c*0,5</v>
      </c>
      <c r="W288" s="3">
        <f t="shared" si="32"/>
        <v>0.32500000000000001</v>
      </c>
    </row>
    <row r="289" spans="1:23" x14ac:dyDescent="0.3">
      <c r="A289" s="6" t="e">
        <f t="shared" si="33"/>
        <v>#N/A</v>
      </c>
      <c r="B289" s="3" t="e">
        <f t="shared" si="36"/>
        <v>#N/A</v>
      </c>
      <c r="C289" s="3" t="e">
        <f t="shared" si="37"/>
        <v>#N/A</v>
      </c>
      <c r="D289" s="3" t="e">
        <f t="shared" si="34"/>
        <v>#N/A</v>
      </c>
      <c r="E289" s="3" t="e">
        <f t="shared" si="35"/>
        <v>#N/A</v>
      </c>
      <c r="O289" s="1" t="s">
        <v>632</v>
      </c>
      <c r="P289" t="str">
        <f t="shared" si="38"/>
        <v>C3*0,5</v>
      </c>
      <c r="Q289" s="3">
        <f t="shared" si="39"/>
        <v>0.2</v>
      </c>
      <c r="R289" s="1" t="s">
        <v>632</v>
      </c>
      <c r="S289" t="str">
        <f t="shared" si="38"/>
        <v>C3*0,5</v>
      </c>
      <c r="T289" s="3">
        <f t="shared" si="39"/>
        <v>0.2</v>
      </c>
      <c r="U289" s="1" t="s">
        <v>631</v>
      </c>
      <c r="V289" t="str">
        <f t="shared" si="31"/>
        <v>F6d*0,5</v>
      </c>
      <c r="W289" s="3">
        <f t="shared" si="32"/>
        <v>0.32500000000000001</v>
      </c>
    </row>
    <row r="290" spans="1:23" x14ac:dyDescent="0.3">
      <c r="A290" s="6" t="e">
        <f t="shared" si="33"/>
        <v>#N/A</v>
      </c>
      <c r="B290" s="3" t="e">
        <f t="shared" si="36"/>
        <v>#N/A</v>
      </c>
      <c r="C290" s="3" t="e">
        <f t="shared" si="37"/>
        <v>#N/A</v>
      </c>
      <c r="D290" s="3" t="e">
        <f t="shared" si="34"/>
        <v>#N/A</v>
      </c>
      <c r="E290" s="3" t="e">
        <f t="shared" si="35"/>
        <v>#N/A</v>
      </c>
      <c r="O290" s="1" t="s">
        <v>632</v>
      </c>
      <c r="P290" t="str">
        <f t="shared" si="38"/>
        <v>C4*0,5</v>
      </c>
      <c r="Q290" s="3">
        <f t="shared" si="39"/>
        <v>0.25</v>
      </c>
      <c r="R290" s="1" t="s">
        <v>632</v>
      </c>
      <c r="S290" t="str">
        <f t="shared" si="38"/>
        <v>C4*0,5</v>
      </c>
      <c r="T290" s="3">
        <f t="shared" si="39"/>
        <v>0.25</v>
      </c>
      <c r="U290" s="1" t="s">
        <v>631</v>
      </c>
      <c r="V290" t="str">
        <f t="shared" ref="V290:V318" si="40">CONCATENATE(V132,"*0,5")</f>
        <v>F7*0,5</v>
      </c>
      <c r="W290" s="3">
        <f t="shared" ref="W290:W318" si="41">W132*0.5</f>
        <v>0.375</v>
      </c>
    </row>
    <row r="291" spans="1:23" x14ac:dyDescent="0.3">
      <c r="A291" s="6" t="e">
        <f t="shared" si="33"/>
        <v>#N/A</v>
      </c>
      <c r="B291" s="3" t="e">
        <f t="shared" si="36"/>
        <v>#N/A</v>
      </c>
      <c r="C291" s="3" t="e">
        <f t="shared" si="37"/>
        <v>#N/A</v>
      </c>
      <c r="D291" s="3" t="e">
        <f t="shared" si="34"/>
        <v>#N/A</v>
      </c>
      <c r="E291" s="3" t="e">
        <f t="shared" si="35"/>
        <v>#N/A</v>
      </c>
      <c r="O291" s="1" t="s">
        <v>632</v>
      </c>
      <c r="P291" t="str">
        <f t="shared" si="38"/>
        <v>C5*0,5</v>
      </c>
      <c r="Q291" s="3">
        <f t="shared" si="39"/>
        <v>0.5</v>
      </c>
      <c r="R291" s="1" t="s">
        <v>632</v>
      </c>
      <c r="S291" t="str">
        <f t="shared" si="38"/>
        <v>C5*0,5</v>
      </c>
      <c r="T291" s="3">
        <f t="shared" si="39"/>
        <v>0.5</v>
      </c>
      <c r="U291" s="1" t="s">
        <v>631</v>
      </c>
      <c r="V291" t="str">
        <f t="shared" si="40"/>
        <v>F8a*0,5</v>
      </c>
      <c r="W291" s="3">
        <f t="shared" si="41"/>
        <v>0.45</v>
      </c>
    </row>
    <row r="292" spans="1:23" x14ac:dyDescent="0.3">
      <c r="A292" s="6" t="e">
        <f t="shared" ref="A292:A355" si="42">IF($B$1="Solo",IF(L291="","",L291),IF($B$1="Duet",IF(O291="","",O291),IF($B$1="Mixed",IF(R291="","",R291),IF(U291="","",U291))))</f>
        <v>#N/A</v>
      </c>
      <c r="B292" s="3" t="e">
        <f t="shared" si="36"/>
        <v>#N/A</v>
      </c>
      <c r="C292" s="3" t="e">
        <f t="shared" si="37"/>
        <v>#N/A</v>
      </c>
      <c r="D292" s="3" t="e">
        <f t="shared" si="34"/>
        <v>#N/A</v>
      </c>
      <c r="E292" s="3" t="e">
        <f t="shared" si="35"/>
        <v>#N/A</v>
      </c>
      <c r="O292" s="1" t="s">
        <v>632</v>
      </c>
      <c r="P292" t="str">
        <f t="shared" si="38"/>
        <v>C6a*0,5</v>
      </c>
      <c r="Q292" s="3">
        <f t="shared" si="39"/>
        <v>0.625</v>
      </c>
      <c r="R292" s="1" t="s">
        <v>632</v>
      </c>
      <c r="S292" t="str">
        <f t="shared" si="38"/>
        <v>C6a*0,5</v>
      </c>
      <c r="T292" s="3">
        <f t="shared" si="39"/>
        <v>0.625</v>
      </c>
      <c r="U292" s="1" t="s">
        <v>631</v>
      </c>
      <c r="V292" t="str">
        <f t="shared" si="40"/>
        <v>F8b*0,5</v>
      </c>
      <c r="W292" s="3">
        <f t="shared" si="41"/>
        <v>0.45</v>
      </c>
    </row>
    <row r="293" spans="1:23" x14ac:dyDescent="0.3">
      <c r="A293" s="6" t="e">
        <f t="shared" si="42"/>
        <v>#N/A</v>
      </c>
      <c r="B293" s="3" t="e">
        <f t="shared" si="36"/>
        <v>#N/A</v>
      </c>
      <c r="C293" s="3" t="e">
        <f t="shared" si="37"/>
        <v>#N/A</v>
      </c>
      <c r="D293" s="3" t="e">
        <f t="shared" si="34"/>
        <v>#N/A</v>
      </c>
      <c r="E293" s="3" t="e">
        <f t="shared" si="35"/>
        <v>#N/A</v>
      </c>
      <c r="O293" s="1" t="s">
        <v>632</v>
      </c>
      <c r="P293" t="str">
        <f t="shared" si="38"/>
        <v>C6b*0,5</v>
      </c>
      <c r="Q293" s="3">
        <f t="shared" si="39"/>
        <v>0.625</v>
      </c>
      <c r="R293" s="1" t="s">
        <v>632</v>
      </c>
      <c r="S293" t="str">
        <f t="shared" si="38"/>
        <v>C6b*0,5</v>
      </c>
      <c r="T293" s="3">
        <f t="shared" si="39"/>
        <v>0.625</v>
      </c>
      <c r="U293" s="1" t="s">
        <v>631</v>
      </c>
      <c r="V293" t="str">
        <f t="shared" si="40"/>
        <v>F9*0,5</v>
      </c>
      <c r="W293" s="3">
        <f t="shared" si="41"/>
        <v>0.5</v>
      </c>
    </row>
    <row r="294" spans="1:23" x14ac:dyDescent="0.3">
      <c r="A294" s="6" t="e">
        <f t="shared" si="42"/>
        <v>#N/A</v>
      </c>
      <c r="B294" s="3" t="e">
        <f t="shared" si="36"/>
        <v>#N/A</v>
      </c>
      <c r="C294" s="3" t="e">
        <f t="shared" si="37"/>
        <v>#N/A</v>
      </c>
      <c r="D294" s="3" t="e">
        <f t="shared" si="34"/>
        <v>#N/A</v>
      </c>
      <c r="E294" s="3" t="e">
        <f t="shared" si="35"/>
        <v>#N/A</v>
      </c>
      <c r="O294" s="1" t="s">
        <v>632</v>
      </c>
      <c r="P294" t="str">
        <f t="shared" si="38"/>
        <v>C7*0,5</v>
      </c>
      <c r="Q294" s="3">
        <f t="shared" si="39"/>
        <v>0.75</v>
      </c>
      <c r="R294" s="1" t="s">
        <v>632</v>
      </c>
      <c r="S294" t="str">
        <f t="shared" si="38"/>
        <v>C7*0,5</v>
      </c>
      <c r="T294" s="3">
        <f t="shared" si="39"/>
        <v>0.75</v>
      </c>
      <c r="U294" s="1" t="s">
        <v>631</v>
      </c>
      <c r="V294" t="str">
        <f t="shared" si="40"/>
        <v>F10*0,5</v>
      </c>
      <c r="W294" s="3">
        <f t="shared" si="41"/>
        <v>0.65</v>
      </c>
    </row>
    <row r="295" spans="1:23" x14ac:dyDescent="0.3">
      <c r="A295" s="6" t="e">
        <f t="shared" si="42"/>
        <v>#N/A</v>
      </c>
      <c r="B295" s="3" t="e">
        <f t="shared" si="36"/>
        <v>#N/A</v>
      </c>
      <c r="C295" s="3" t="e">
        <f t="shared" si="37"/>
        <v>#N/A</v>
      </c>
      <c r="D295" s="3" t="e">
        <f t="shared" si="34"/>
        <v>#N/A</v>
      </c>
      <c r="E295" s="3" t="e">
        <f t="shared" si="35"/>
        <v>#N/A</v>
      </c>
      <c r="U295" s="1" t="s">
        <v>632</v>
      </c>
      <c r="V295" t="str">
        <f t="shared" si="40"/>
        <v>CB*0,5</v>
      </c>
      <c r="W295" s="3">
        <f t="shared" si="41"/>
        <v>0.05</v>
      </c>
    </row>
    <row r="296" spans="1:23" x14ac:dyDescent="0.3">
      <c r="A296" s="6" t="e">
        <f t="shared" si="42"/>
        <v>#N/A</v>
      </c>
      <c r="B296" s="3" t="e">
        <f t="shared" si="36"/>
        <v>#N/A</v>
      </c>
      <c r="C296" s="3" t="e">
        <f t="shared" si="37"/>
        <v>#N/A</v>
      </c>
      <c r="D296" s="3" t="e">
        <f t="shared" si="34"/>
        <v>#N/A</v>
      </c>
      <c r="E296" s="3" t="e">
        <f t="shared" si="35"/>
        <v>#N/A</v>
      </c>
      <c r="U296" s="1" t="s">
        <v>632</v>
      </c>
      <c r="V296" t="str">
        <f t="shared" si="40"/>
        <v>CB+*0,5</v>
      </c>
      <c r="W296" s="3">
        <f t="shared" si="41"/>
        <v>0.1</v>
      </c>
    </row>
    <row r="297" spans="1:23" x14ac:dyDescent="0.3">
      <c r="A297" s="6" t="e">
        <f t="shared" si="42"/>
        <v>#N/A</v>
      </c>
      <c r="B297" s="3" t="e">
        <f t="shared" si="36"/>
        <v>#N/A</v>
      </c>
      <c r="C297" s="3" t="e">
        <f t="shared" si="37"/>
        <v>#N/A</v>
      </c>
      <c r="D297" s="3" t="e">
        <f t="shared" si="34"/>
        <v>#N/A</v>
      </c>
      <c r="E297" s="3" t="e">
        <f t="shared" si="35"/>
        <v>#N/A</v>
      </c>
      <c r="U297" s="1" t="s">
        <v>632</v>
      </c>
      <c r="V297" t="str">
        <f t="shared" si="40"/>
        <v>C1a*0,5</v>
      </c>
      <c r="W297" s="3">
        <f t="shared" si="41"/>
        <v>0.1</v>
      </c>
    </row>
    <row r="298" spans="1:23" x14ac:dyDescent="0.3">
      <c r="A298" s="6" t="e">
        <f t="shared" si="42"/>
        <v>#N/A</v>
      </c>
      <c r="B298" s="3" t="e">
        <f t="shared" si="36"/>
        <v>#N/A</v>
      </c>
      <c r="C298" s="3" t="e">
        <f t="shared" si="37"/>
        <v>#N/A</v>
      </c>
      <c r="D298" s="3" t="e">
        <f t="shared" si="34"/>
        <v>#N/A</v>
      </c>
      <c r="E298" s="3" t="e">
        <f t="shared" si="35"/>
        <v>#N/A</v>
      </c>
      <c r="U298" s="1" t="s">
        <v>632</v>
      </c>
      <c r="V298" t="str">
        <f t="shared" si="40"/>
        <v>C1a+*0,5</v>
      </c>
      <c r="W298" s="3">
        <f t="shared" si="41"/>
        <v>0.15</v>
      </c>
    </row>
    <row r="299" spans="1:23" x14ac:dyDescent="0.3">
      <c r="A299" s="6" t="e">
        <f t="shared" si="42"/>
        <v>#N/A</v>
      </c>
      <c r="B299" s="3" t="e">
        <f t="shared" si="36"/>
        <v>#N/A</v>
      </c>
      <c r="C299" s="3" t="e">
        <f t="shared" si="37"/>
        <v>#N/A</v>
      </c>
      <c r="D299" s="3" t="e">
        <f t="shared" si="34"/>
        <v>#N/A</v>
      </c>
      <c r="E299" s="3" t="e">
        <f t="shared" si="35"/>
        <v>#N/A</v>
      </c>
      <c r="U299" s="1" t="s">
        <v>632</v>
      </c>
      <c r="V299" t="str">
        <f t="shared" si="40"/>
        <v>C1b*0,5</v>
      </c>
      <c r="W299" s="3">
        <f t="shared" si="41"/>
        <v>0.1</v>
      </c>
    </row>
    <row r="300" spans="1:23" x14ac:dyDescent="0.3">
      <c r="A300" s="6" t="e">
        <f t="shared" si="42"/>
        <v>#N/A</v>
      </c>
      <c r="B300" s="3" t="e">
        <f t="shared" si="36"/>
        <v>#N/A</v>
      </c>
      <c r="C300" s="3" t="e">
        <f t="shared" si="37"/>
        <v>#N/A</v>
      </c>
      <c r="D300" s="3" t="e">
        <f t="shared" si="34"/>
        <v>#N/A</v>
      </c>
      <c r="E300" s="3" t="e">
        <f t="shared" si="35"/>
        <v>#N/A</v>
      </c>
      <c r="U300" s="1" t="s">
        <v>632</v>
      </c>
      <c r="V300" t="str">
        <f t="shared" si="40"/>
        <v>C1b+*0,5</v>
      </c>
      <c r="W300" s="3">
        <f t="shared" si="41"/>
        <v>0.15</v>
      </c>
    </row>
    <row r="301" spans="1:23" x14ac:dyDescent="0.3">
      <c r="A301" s="6" t="e">
        <f t="shared" si="42"/>
        <v>#N/A</v>
      </c>
      <c r="B301" s="3" t="e">
        <f t="shared" si="36"/>
        <v>#N/A</v>
      </c>
      <c r="C301" s="3" t="e">
        <f t="shared" si="37"/>
        <v>#N/A</v>
      </c>
      <c r="D301" s="3" t="e">
        <f t="shared" si="34"/>
        <v>#N/A</v>
      </c>
      <c r="E301" s="3" t="e">
        <f t="shared" si="35"/>
        <v>#N/A</v>
      </c>
      <c r="U301" s="1" t="s">
        <v>632</v>
      </c>
      <c r="V301" t="str">
        <f t="shared" si="40"/>
        <v>C2a*0,5</v>
      </c>
      <c r="W301" s="3">
        <f t="shared" si="41"/>
        <v>0.15</v>
      </c>
    </row>
    <row r="302" spans="1:23" x14ac:dyDescent="0.3">
      <c r="A302" s="6" t="e">
        <f t="shared" si="42"/>
        <v>#N/A</v>
      </c>
      <c r="B302" s="3" t="e">
        <f t="shared" si="36"/>
        <v>#N/A</v>
      </c>
      <c r="C302" s="3" t="e">
        <f t="shared" si="37"/>
        <v>#N/A</v>
      </c>
      <c r="D302" s="3" t="e">
        <f t="shared" si="34"/>
        <v>#N/A</v>
      </c>
      <c r="E302" s="3" t="e">
        <f t="shared" si="35"/>
        <v>#N/A</v>
      </c>
      <c r="U302" s="1" t="s">
        <v>632</v>
      </c>
      <c r="V302" t="str">
        <f t="shared" si="40"/>
        <v>C2a+*0,5</v>
      </c>
      <c r="W302" s="3">
        <f t="shared" si="41"/>
        <v>0.2</v>
      </c>
    </row>
    <row r="303" spans="1:23" x14ac:dyDescent="0.3">
      <c r="A303" s="6" t="e">
        <f t="shared" si="42"/>
        <v>#N/A</v>
      </c>
      <c r="B303" s="3" t="e">
        <f t="shared" si="36"/>
        <v>#N/A</v>
      </c>
      <c r="C303" s="3" t="e">
        <f t="shared" si="37"/>
        <v>#N/A</v>
      </c>
      <c r="D303" s="3" t="e">
        <f t="shared" si="34"/>
        <v>#N/A</v>
      </c>
      <c r="E303" s="3" t="e">
        <f t="shared" si="35"/>
        <v>#N/A</v>
      </c>
      <c r="U303" s="1" t="s">
        <v>632</v>
      </c>
      <c r="V303" t="str">
        <f t="shared" si="40"/>
        <v>C2b*0,5</v>
      </c>
      <c r="W303" s="3">
        <f t="shared" si="41"/>
        <v>0.15</v>
      </c>
    </row>
    <row r="304" spans="1:23" x14ac:dyDescent="0.3">
      <c r="A304" s="6" t="e">
        <f t="shared" si="42"/>
        <v>#N/A</v>
      </c>
      <c r="B304" s="3" t="e">
        <f t="shared" si="36"/>
        <v>#N/A</v>
      </c>
      <c r="C304" s="3" t="e">
        <f t="shared" si="37"/>
        <v>#N/A</v>
      </c>
      <c r="D304" s="3" t="e">
        <f t="shared" si="34"/>
        <v>#N/A</v>
      </c>
      <c r="E304" s="3" t="e">
        <f t="shared" si="35"/>
        <v>#N/A</v>
      </c>
      <c r="U304" s="1" t="s">
        <v>632</v>
      </c>
      <c r="V304" t="str">
        <f t="shared" si="40"/>
        <v>C2b+*0,5</v>
      </c>
      <c r="W304" s="3">
        <f t="shared" si="41"/>
        <v>0.2</v>
      </c>
    </row>
    <row r="305" spans="1:23" x14ac:dyDescent="0.3">
      <c r="A305" s="6" t="e">
        <f t="shared" si="42"/>
        <v>#N/A</v>
      </c>
      <c r="B305" s="3" t="e">
        <f t="shared" si="36"/>
        <v>#N/A</v>
      </c>
      <c r="C305" s="3" t="e">
        <f t="shared" si="37"/>
        <v>#N/A</v>
      </c>
      <c r="D305" s="3" t="e">
        <f t="shared" si="34"/>
        <v>#N/A</v>
      </c>
      <c r="E305" s="3" t="e">
        <f t="shared" si="35"/>
        <v>#N/A</v>
      </c>
      <c r="U305" s="1" t="s">
        <v>632</v>
      </c>
      <c r="V305" t="str">
        <f t="shared" si="40"/>
        <v>C2c*0,5</v>
      </c>
      <c r="W305" s="3">
        <f t="shared" si="41"/>
        <v>0.15</v>
      </c>
    </row>
    <row r="306" spans="1:23" x14ac:dyDescent="0.3">
      <c r="A306" s="6" t="e">
        <f t="shared" si="42"/>
        <v>#N/A</v>
      </c>
      <c r="B306" s="3" t="e">
        <f t="shared" si="36"/>
        <v>#N/A</v>
      </c>
      <c r="C306" s="3" t="e">
        <f t="shared" si="37"/>
        <v>#N/A</v>
      </c>
      <c r="D306" s="3" t="e">
        <f t="shared" si="34"/>
        <v>#N/A</v>
      </c>
      <c r="E306" s="3" t="e">
        <f t="shared" si="35"/>
        <v>#N/A</v>
      </c>
      <c r="U306" s="1" t="s">
        <v>632</v>
      </c>
      <c r="V306" t="str">
        <f t="shared" si="40"/>
        <v>C2c+*0,5</v>
      </c>
      <c r="W306" s="3">
        <f t="shared" si="41"/>
        <v>0.2</v>
      </c>
    </row>
    <row r="307" spans="1:23" x14ac:dyDescent="0.3">
      <c r="A307" s="6" t="e">
        <f t="shared" si="42"/>
        <v>#N/A</v>
      </c>
      <c r="B307" s="3" t="e">
        <f t="shared" si="36"/>
        <v>#N/A</v>
      </c>
      <c r="C307" s="3" t="e">
        <f t="shared" si="37"/>
        <v>#N/A</v>
      </c>
      <c r="D307" s="3" t="e">
        <f t="shared" si="34"/>
        <v>#N/A</v>
      </c>
      <c r="E307" s="3" t="e">
        <f t="shared" si="35"/>
        <v>#N/A</v>
      </c>
      <c r="U307" s="1" t="s">
        <v>632</v>
      </c>
      <c r="V307" t="str">
        <f t="shared" si="40"/>
        <v>C3*0,5</v>
      </c>
      <c r="W307" s="3">
        <f t="shared" si="41"/>
        <v>0.2</v>
      </c>
    </row>
    <row r="308" spans="1:23" x14ac:dyDescent="0.3">
      <c r="A308" s="6" t="e">
        <f t="shared" si="42"/>
        <v>#N/A</v>
      </c>
      <c r="B308" s="3" t="e">
        <f t="shared" si="36"/>
        <v>#N/A</v>
      </c>
      <c r="C308" s="3" t="e">
        <f t="shared" si="37"/>
        <v>#N/A</v>
      </c>
      <c r="D308" s="3" t="e">
        <f t="shared" si="34"/>
        <v>#N/A</v>
      </c>
      <c r="E308" s="3" t="e">
        <f t="shared" si="35"/>
        <v>#N/A</v>
      </c>
      <c r="U308" s="1" t="s">
        <v>632</v>
      </c>
      <c r="V308" t="str">
        <f t="shared" si="40"/>
        <v>C3+*0,5</v>
      </c>
      <c r="W308" s="3">
        <f t="shared" si="41"/>
        <v>0.25</v>
      </c>
    </row>
    <row r="309" spans="1:23" x14ac:dyDescent="0.3">
      <c r="A309" s="6" t="e">
        <f t="shared" si="42"/>
        <v>#N/A</v>
      </c>
      <c r="B309" s="3" t="e">
        <f t="shared" si="36"/>
        <v>#N/A</v>
      </c>
      <c r="C309" s="3" t="e">
        <f t="shared" si="37"/>
        <v>#N/A</v>
      </c>
      <c r="D309" s="3" t="e">
        <f t="shared" si="34"/>
        <v>#N/A</v>
      </c>
      <c r="E309" s="3" t="e">
        <f t="shared" si="35"/>
        <v>#N/A</v>
      </c>
      <c r="U309" s="1" t="s">
        <v>632</v>
      </c>
      <c r="V309" t="str">
        <f t="shared" si="40"/>
        <v>C4*0,5</v>
      </c>
      <c r="W309" s="3">
        <f t="shared" si="41"/>
        <v>0.25</v>
      </c>
    </row>
    <row r="310" spans="1:23" x14ac:dyDescent="0.3">
      <c r="A310" s="6" t="e">
        <f t="shared" si="42"/>
        <v>#N/A</v>
      </c>
      <c r="B310" s="3" t="e">
        <f t="shared" si="36"/>
        <v>#N/A</v>
      </c>
      <c r="C310" s="3" t="e">
        <f t="shared" si="37"/>
        <v>#N/A</v>
      </c>
      <c r="D310" s="3" t="e">
        <f t="shared" si="34"/>
        <v>#N/A</v>
      </c>
      <c r="E310" s="3" t="e">
        <f t="shared" si="35"/>
        <v>#N/A</v>
      </c>
      <c r="U310" s="1" t="s">
        <v>632</v>
      </c>
      <c r="V310" t="str">
        <f t="shared" si="40"/>
        <v>C4+*0,5</v>
      </c>
      <c r="W310" s="3">
        <f t="shared" si="41"/>
        <v>0.3</v>
      </c>
    </row>
    <row r="311" spans="1:23" x14ac:dyDescent="0.3">
      <c r="A311" s="6" t="e">
        <f t="shared" si="42"/>
        <v>#N/A</v>
      </c>
      <c r="B311" s="3" t="e">
        <f t="shared" si="36"/>
        <v>#N/A</v>
      </c>
      <c r="C311" s="3" t="e">
        <f t="shared" si="37"/>
        <v>#N/A</v>
      </c>
      <c r="D311" s="3" t="e">
        <f t="shared" si="34"/>
        <v>#N/A</v>
      </c>
      <c r="E311" s="3" t="e">
        <f t="shared" si="35"/>
        <v>#N/A</v>
      </c>
      <c r="U311" s="1" t="s">
        <v>632</v>
      </c>
      <c r="V311" t="str">
        <f t="shared" si="40"/>
        <v>C5*0,5</v>
      </c>
      <c r="W311" s="3">
        <f t="shared" si="41"/>
        <v>0.5</v>
      </c>
    </row>
    <row r="312" spans="1:23" x14ac:dyDescent="0.3">
      <c r="A312" s="6" t="e">
        <f t="shared" si="42"/>
        <v>#N/A</v>
      </c>
      <c r="B312" s="3" t="e">
        <f t="shared" si="36"/>
        <v>#N/A</v>
      </c>
      <c r="C312" s="3" t="e">
        <f t="shared" si="37"/>
        <v>#N/A</v>
      </c>
      <c r="D312" s="3" t="e">
        <f t="shared" si="34"/>
        <v>#N/A</v>
      </c>
      <c r="E312" s="3" t="e">
        <f t="shared" si="35"/>
        <v>#N/A</v>
      </c>
      <c r="U312" s="1" t="s">
        <v>632</v>
      </c>
      <c r="V312" t="str">
        <f t="shared" si="40"/>
        <v>C5+*0,5</v>
      </c>
      <c r="W312" s="3">
        <f t="shared" si="41"/>
        <v>0.55000000000000004</v>
      </c>
    </row>
    <row r="313" spans="1:23" x14ac:dyDescent="0.3">
      <c r="A313" s="6" t="e">
        <f t="shared" si="42"/>
        <v>#N/A</v>
      </c>
      <c r="B313" s="3" t="e">
        <f t="shared" si="36"/>
        <v>#N/A</v>
      </c>
      <c r="C313" s="3" t="e">
        <f t="shared" si="37"/>
        <v>#N/A</v>
      </c>
      <c r="D313" s="3" t="e">
        <f t="shared" si="34"/>
        <v>#N/A</v>
      </c>
      <c r="E313" s="3" t="e">
        <f t="shared" si="35"/>
        <v>#N/A</v>
      </c>
      <c r="U313" s="1" t="s">
        <v>632</v>
      </c>
      <c r="V313" t="str">
        <f t="shared" si="40"/>
        <v>C6a*0,5</v>
      </c>
      <c r="W313" s="3">
        <f t="shared" si="41"/>
        <v>0.625</v>
      </c>
    </row>
    <row r="314" spans="1:23" x14ac:dyDescent="0.3">
      <c r="A314" s="6" t="e">
        <f t="shared" si="42"/>
        <v>#N/A</v>
      </c>
      <c r="B314" s="3" t="e">
        <f t="shared" si="36"/>
        <v>#N/A</v>
      </c>
      <c r="C314" s="3" t="e">
        <f t="shared" si="37"/>
        <v>#N/A</v>
      </c>
      <c r="D314" s="3" t="e">
        <f t="shared" si="34"/>
        <v>#N/A</v>
      </c>
      <c r="E314" s="3" t="e">
        <f t="shared" si="35"/>
        <v>#N/A</v>
      </c>
      <c r="U314" s="1" t="s">
        <v>632</v>
      </c>
      <c r="V314" t="str">
        <f t="shared" si="40"/>
        <v>C6a+*0,5</v>
      </c>
      <c r="W314" s="3">
        <f t="shared" si="41"/>
        <v>0.67500000000000004</v>
      </c>
    </row>
    <row r="315" spans="1:23" x14ac:dyDescent="0.3">
      <c r="A315" s="6" t="e">
        <f t="shared" si="42"/>
        <v>#N/A</v>
      </c>
      <c r="B315" s="3" t="e">
        <f t="shared" si="36"/>
        <v>#N/A</v>
      </c>
      <c r="C315" s="3" t="e">
        <f t="shared" si="37"/>
        <v>#N/A</v>
      </c>
      <c r="D315" s="3" t="e">
        <f t="shared" si="34"/>
        <v>#N/A</v>
      </c>
      <c r="E315" s="3" t="e">
        <f t="shared" si="35"/>
        <v>#N/A</v>
      </c>
      <c r="U315" s="1" t="s">
        <v>632</v>
      </c>
      <c r="V315" t="str">
        <f t="shared" si="40"/>
        <v>C6b*0,5</v>
      </c>
      <c r="W315" s="3">
        <f t="shared" si="41"/>
        <v>0.625</v>
      </c>
    </row>
    <row r="316" spans="1:23" x14ac:dyDescent="0.3">
      <c r="A316" s="6" t="e">
        <f t="shared" si="42"/>
        <v>#N/A</v>
      </c>
      <c r="B316" s="3" t="e">
        <f t="shared" si="36"/>
        <v>#N/A</v>
      </c>
      <c r="C316" s="3" t="e">
        <f t="shared" si="37"/>
        <v>#N/A</v>
      </c>
      <c r="D316" s="3" t="e">
        <f t="shared" si="34"/>
        <v>#N/A</v>
      </c>
      <c r="E316" s="3" t="e">
        <f t="shared" si="35"/>
        <v>#N/A</v>
      </c>
      <c r="U316" s="1" t="s">
        <v>632</v>
      </c>
      <c r="V316" t="str">
        <f t="shared" si="40"/>
        <v>C6b+*0,5</v>
      </c>
      <c r="W316" s="3">
        <f t="shared" si="41"/>
        <v>0.67500000000000004</v>
      </c>
    </row>
    <row r="317" spans="1:23" x14ac:dyDescent="0.3">
      <c r="A317" s="6" t="e">
        <f t="shared" si="42"/>
        <v>#N/A</v>
      </c>
      <c r="B317" s="3" t="e">
        <f t="shared" si="36"/>
        <v>#N/A</v>
      </c>
      <c r="C317" s="3" t="e">
        <f t="shared" si="37"/>
        <v>#N/A</v>
      </c>
      <c r="D317" s="3" t="e">
        <f t="shared" si="34"/>
        <v>#N/A</v>
      </c>
      <c r="E317" s="3" t="e">
        <f t="shared" si="35"/>
        <v>#N/A</v>
      </c>
      <c r="U317" s="1" t="s">
        <v>632</v>
      </c>
      <c r="V317" t="str">
        <f t="shared" si="40"/>
        <v>C7*0,5</v>
      </c>
      <c r="W317" s="3">
        <f t="shared" si="41"/>
        <v>0.75</v>
      </c>
    </row>
    <row r="318" spans="1:23" x14ac:dyDescent="0.3">
      <c r="A318" s="6" t="e">
        <f t="shared" si="42"/>
        <v>#N/A</v>
      </c>
      <c r="B318" s="3" t="e">
        <f t="shared" si="36"/>
        <v>#N/A</v>
      </c>
      <c r="C318" s="3" t="e">
        <f t="shared" si="37"/>
        <v>#N/A</v>
      </c>
      <c r="D318" s="3" t="e">
        <f t="shared" si="34"/>
        <v>#N/A</v>
      </c>
      <c r="E318" s="3" t="e">
        <f t="shared" si="35"/>
        <v>#N/A</v>
      </c>
      <c r="U318" s="1" t="s">
        <v>632</v>
      </c>
      <c r="V318" t="str">
        <f t="shared" si="40"/>
        <v>C7+*0,5</v>
      </c>
      <c r="W318" s="3">
        <f t="shared" si="41"/>
        <v>0.8</v>
      </c>
    </row>
    <row r="319" spans="1:23" x14ac:dyDescent="0.3">
      <c r="A319" s="6" t="e">
        <f t="shared" si="42"/>
        <v>#N/A</v>
      </c>
      <c r="B319" s="3" t="e">
        <f t="shared" si="36"/>
        <v>#N/A</v>
      </c>
      <c r="C319" s="3" t="e">
        <f t="shared" si="37"/>
        <v>#N/A</v>
      </c>
      <c r="D319" s="3" t="e">
        <f t="shared" si="34"/>
        <v>#N/A</v>
      </c>
      <c r="E319" s="3" t="e">
        <f t="shared" si="35"/>
        <v>#N/A</v>
      </c>
      <c r="U319" s="1" t="s">
        <v>1810</v>
      </c>
      <c r="V319" t="str">
        <f>CONCATENATE(V3,"*0,3")</f>
        <v>TB*0,3</v>
      </c>
      <c r="W319" s="3">
        <f>W3*0.3</f>
        <v>0.09</v>
      </c>
    </row>
    <row r="320" spans="1:23" x14ac:dyDescent="0.3">
      <c r="A320" s="6" t="e">
        <f t="shared" si="42"/>
        <v>#N/A</v>
      </c>
      <c r="B320" s="3" t="e">
        <f t="shared" si="36"/>
        <v>#N/A</v>
      </c>
      <c r="C320" s="3" t="e">
        <f t="shared" si="37"/>
        <v>#N/A</v>
      </c>
      <c r="D320" s="3" t="e">
        <f t="shared" si="34"/>
        <v>#N/A</v>
      </c>
      <c r="E320" s="3" t="e">
        <f t="shared" si="35"/>
        <v>#N/A</v>
      </c>
      <c r="U320" s="1" t="s">
        <v>1810</v>
      </c>
      <c r="V320" t="str">
        <f t="shared" ref="V320:V383" si="43">CONCATENATE(V4,"*0,3")</f>
        <v>T1*0,3</v>
      </c>
      <c r="W320" s="3">
        <f t="shared" ref="W320:W383" si="44">W4*0.3</f>
        <v>0.13500000000000001</v>
      </c>
    </row>
    <row r="321" spans="1:23" x14ac:dyDescent="0.3">
      <c r="A321" s="6" t="e">
        <f t="shared" si="42"/>
        <v>#N/A</v>
      </c>
      <c r="B321" s="3" t="e">
        <f t="shared" si="36"/>
        <v>#N/A</v>
      </c>
      <c r="C321" s="3" t="e">
        <f t="shared" si="37"/>
        <v>#N/A</v>
      </c>
      <c r="D321" s="3" t="e">
        <f t="shared" si="34"/>
        <v>#N/A</v>
      </c>
      <c r="E321" s="3" t="e">
        <f t="shared" si="35"/>
        <v>#N/A</v>
      </c>
      <c r="U321" s="1" t="s">
        <v>1810</v>
      </c>
      <c r="V321" t="str">
        <f t="shared" si="43"/>
        <v>T2a*0,3</v>
      </c>
      <c r="W321" s="3">
        <f t="shared" si="44"/>
        <v>0.15</v>
      </c>
    </row>
    <row r="322" spans="1:23" x14ac:dyDescent="0.3">
      <c r="A322" s="6" t="e">
        <f t="shared" si="42"/>
        <v>#N/A</v>
      </c>
      <c r="B322" s="3" t="e">
        <f t="shared" si="36"/>
        <v>#N/A</v>
      </c>
      <c r="C322" s="3" t="e">
        <f t="shared" si="37"/>
        <v>#N/A</v>
      </c>
      <c r="D322" s="3" t="e">
        <f t="shared" si="34"/>
        <v>#N/A</v>
      </c>
      <c r="E322" s="3" t="e">
        <f t="shared" si="35"/>
        <v>#N/A</v>
      </c>
      <c r="U322" s="1" t="s">
        <v>1810</v>
      </c>
      <c r="V322" t="str">
        <f t="shared" si="43"/>
        <v>T2b*0,3</v>
      </c>
      <c r="W322" s="3">
        <f t="shared" si="44"/>
        <v>0.15</v>
      </c>
    </row>
    <row r="323" spans="1:23" x14ac:dyDescent="0.3">
      <c r="A323" s="6" t="e">
        <f t="shared" si="42"/>
        <v>#N/A</v>
      </c>
      <c r="B323" s="3" t="e">
        <f t="shared" si="36"/>
        <v>#N/A</v>
      </c>
      <c r="C323" s="3" t="e">
        <f t="shared" si="37"/>
        <v>#N/A</v>
      </c>
      <c r="D323" s="3" t="e">
        <f t="shared" si="34"/>
        <v>#N/A</v>
      </c>
      <c r="E323" s="3" t="e">
        <f t="shared" si="35"/>
        <v>#N/A</v>
      </c>
      <c r="U323" s="1" t="s">
        <v>1810</v>
      </c>
      <c r="V323" t="str">
        <f t="shared" si="43"/>
        <v>T3a*0,3</v>
      </c>
      <c r="W323" s="3">
        <f t="shared" si="44"/>
        <v>0.19500000000000001</v>
      </c>
    </row>
    <row r="324" spans="1:23" x14ac:dyDescent="0.3">
      <c r="A324" s="6" t="e">
        <f t="shared" si="42"/>
        <v>#N/A</v>
      </c>
      <c r="B324" s="3" t="e">
        <f t="shared" si="36"/>
        <v>#N/A</v>
      </c>
      <c r="C324" s="3" t="e">
        <f t="shared" si="37"/>
        <v>#N/A</v>
      </c>
      <c r="D324" s="3" t="e">
        <f t="shared" si="34"/>
        <v>#N/A</v>
      </c>
      <c r="E324" s="3" t="e">
        <f t="shared" si="35"/>
        <v>#N/A</v>
      </c>
      <c r="U324" s="1" t="s">
        <v>1810</v>
      </c>
      <c r="V324" t="str">
        <f t="shared" si="43"/>
        <v>T3b*0,3</v>
      </c>
      <c r="W324" s="3">
        <f t="shared" si="44"/>
        <v>0.19500000000000001</v>
      </c>
    </row>
    <row r="325" spans="1:23" x14ac:dyDescent="0.3">
      <c r="A325" s="6" t="e">
        <f t="shared" si="42"/>
        <v>#N/A</v>
      </c>
      <c r="B325" s="3" t="e">
        <f t="shared" si="36"/>
        <v>#N/A</v>
      </c>
      <c r="C325" s="3" t="e">
        <f t="shared" si="37"/>
        <v>#N/A</v>
      </c>
      <c r="D325" s="3" t="e">
        <f t="shared" ref="D325:D388" si="45">IF($D$1="Team",IF(AD324="","",AD324),"")</f>
        <v>#N/A</v>
      </c>
      <c r="E325" s="3" t="e">
        <f t="shared" ref="E325:E388" si="46">IF($D$1="Team",IF(AE324="","",AE324),"")</f>
        <v>#N/A</v>
      </c>
      <c r="U325" s="1" t="s">
        <v>1810</v>
      </c>
      <c r="V325" t="str">
        <f t="shared" si="43"/>
        <v>T3c*0,3</v>
      </c>
      <c r="W325" s="3">
        <f t="shared" si="44"/>
        <v>0.19500000000000001</v>
      </c>
    </row>
    <row r="326" spans="1:23" x14ac:dyDescent="0.3">
      <c r="A326" s="6" t="e">
        <f t="shared" si="42"/>
        <v>#N/A</v>
      </c>
      <c r="B326" s="3" t="e">
        <f t="shared" si="36"/>
        <v>#N/A</v>
      </c>
      <c r="C326" s="3" t="e">
        <f t="shared" si="37"/>
        <v>#N/A</v>
      </c>
      <c r="D326" s="3" t="e">
        <f t="shared" si="45"/>
        <v>#N/A</v>
      </c>
      <c r="E326" s="3" t="e">
        <f t="shared" si="46"/>
        <v>#N/A</v>
      </c>
      <c r="U326" s="1" t="s">
        <v>1810</v>
      </c>
      <c r="V326" t="str">
        <f t="shared" si="43"/>
        <v>T3d*0,3</v>
      </c>
      <c r="W326" s="3">
        <f t="shared" si="44"/>
        <v>0.19500000000000001</v>
      </c>
    </row>
    <row r="327" spans="1:23" x14ac:dyDescent="0.3">
      <c r="A327" s="6" t="e">
        <f t="shared" si="42"/>
        <v>#N/A</v>
      </c>
      <c r="B327" s="3" t="e">
        <f t="shared" si="36"/>
        <v>#N/A</v>
      </c>
      <c r="C327" s="3" t="e">
        <f t="shared" si="37"/>
        <v>#N/A</v>
      </c>
      <c r="D327" s="3" t="e">
        <f t="shared" si="45"/>
        <v>#N/A</v>
      </c>
      <c r="E327" s="3" t="e">
        <f t="shared" si="46"/>
        <v>#N/A</v>
      </c>
      <c r="U327" s="1" t="s">
        <v>1810</v>
      </c>
      <c r="V327" t="str">
        <f t="shared" si="43"/>
        <v>T4a*0,3</v>
      </c>
      <c r="W327" s="3">
        <f t="shared" si="44"/>
        <v>0.24</v>
      </c>
    </row>
    <row r="328" spans="1:23" x14ac:dyDescent="0.3">
      <c r="A328" s="6" t="e">
        <f t="shared" si="42"/>
        <v>#N/A</v>
      </c>
      <c r="B328" s="3" t="e">
        <f t="shared" si="36"/>
        <v>#N/A</v>
      </c>
      <c r="C328" s="3" t="e">
        <f t="shared" si="37"/>
        <v>#N/A</v>
      </c>
      <c r="D328" s="3" t="e">
        <f t="shared" si="45"/>
        <v>#N/A</v>
      </c>
      <c r="E328" s="3" t="e">
        <f t="shared" si="46"/>
        <v>#N/A</v>
      </c>
      <c r="U328" s="1" t="s">
        <v>1810</v>
      </c>
      <c r="V328" t="str">
        <f t="shared" si="43"/>
        <v>T4b*0,3</v>
      </c>
      <c r="W328" s="3">
        <f t="shared" si="44"/>
        <v>0.24</v>
      </c>
    </row>
    <row r="329" spans="1:23" x14ac:dyDescent="0.3">
      <c r="A329" s="6" t="e">
        <f t="shared" si="42"/>
        <v>#N/A</v>
      </c>
      <c r="B329" s="3" t="e">
        <f t="shared" ref="B329:B392" si="47">IF($B$1="Solo",IF(M328="","",M328),IF($B$1="Duet",IF(P328="","",P328),IF($B$1="Mixed",IF(S328="","",S328),IF(V328="","",V328))))</f>
        <v>#N/A</v>
      </c>
      <c r="C329" s="3" t="e">
        <f t="shared" ref="C329:C392" si="48">IF($B$1="Solo",IF(N328="","",N328),IF($B$1="Duet",IF(Q328="","",Q328),IF($B$1="Mixed",IF(T328="","",T328),IF(W328="","",W328))))</f>
        <v>#N/A</v>
      </c>
      <c r="D329" s="3" t="e">
        <f t="shared" si="45"/>
        <v>#N/A</v>
      </c>
      <c r="E329" s="3" t="e">
        <f t="shared" si="46"/>
        <v>#N/A</v>
      </c>
      <c r="U329" s="1" t="s">
        <v>1810</v>
      </c>
      <c r="V329" t="str">
        <f t="shared" si="43"/>
        <v>T4c*0,3</v>
      </c>
      <c r="W329" s="3">
        <f t="shared" si="44"/>
        <v>0.24</v>
      </c>
    </row>
    <row r="330" spans="1:23" x14ac:dyDescent="0.3">
      <c r="A330" s="6" t="e">
        <f t="shared" si="42"/>
        <v>#N/A</v>
      </c>
      <c r="B330" s="3" t="e">
        <f t="shared" si="47"/>
        <v>#N/A</v>
      </c>
      <c r="C330" s="3" t="e">
        <f t="shared" si="48"/>
        <v>#N/A</v>
      </c>
      <c r="D330" s="3" t="e">
        <f t="shared" si="45"/>
        <v>#N/A</v>
      </c>
      <c r="E330" s="3" t="e">
        <f t="shared" si="46"/>
        <v>#N/A</v>
      </c>
      <c r="U330" s="1" t="s">
        <v>1810</v>
      </c>
      <c r="V330" t="str">
        <f t="shared" si="43"/>
        <v>T4d*0,3</v>
      </c>
      <c r="W330" s="3">
        <f t="shared" si="44"/>
        <v>0.24</v>
      </c>
    </row>
    <row r="331" spans="1:23" x14ac:dyDescent="0.3">
      <c r="A331" s="6" t="e">
        <f t="shared" si="42"/>
        <v>#N/A</v>
      </c>
      <c r="B331" s="3" t="e">
        <f t="shared" si="47"/>
        <v>#N/A</v>
      </c>
      <c r="C331" s="3" t="e">
        <f t="shared" si="48"/>
        <v>#N/A</v>
      </c>
      <c r="D331" s="3" t="e">
        <f t="shared" si="45"/>
        <v>#N/A</v>
      </c>
      <c r="E331" s="3" t="e">
        <f t="shared" si="46"/>
        <v>#N/A</v>
      </c>
      <c r="U331" s="1" t="s">
        <v>1810</v>
      </c>
      <c r="V331" t="str">
        <f t="shared" si="43"/>
        <v>T4e*0,3</v>
      </c>
      <c r="W331" s="3">
        <f t="shared" si="44"/>
        <v>0.24</v>
      </c>
    </row>
    <row r="332" spans="1:23" x14ac:dyDescent="0.3">
      <c r="A332" s="6" t="e">
        <f t="shared" si="42"/>
        <v>#N/A</v>
      </c>
      <c r="B332" s="3" t="e">
        <f t="shared" si="47"/>
        <v>#N/A</v>
      </c>
      <c r="C332" s="3" t="e">
        <f t="shared" si="48"/>
        <v>#N/A</v>
      </c>
      <c r="D332" s="3" t="e">
        <f t="shared" si="45"/>
        <v>#N/A</v>
      </c>
      <c r="E332" s="3" t="e">
        <f t="shared" si="46"/>
        <v>#N/A</v>
      </c>
      <c r="U332" s="1" t="s">
        <v>1810</v>
      </c>
      <c r="V332" t="str">
        <f t="shared" si="43"/>
        <v>T5a*0,3</v>
      </c>
      <c r="W332" s="3">
        <f t="shared" si="44"/>
        <v>0.27</v>
      </c>
    </row>
    <row r="333" spans="1:23" x14ac:dyDescent="0.3">
      <c r="A333" s="6" t="e">
        <f t="shared" si="42"/>
        <v>#N/A</v>
      </c>
      <c r="B333" s="3" t="e">
        <f t="shared" si="47"/>
        <v>#N/A</v>
      </c>
      <c r="C333" s="3" t="e">
        <f t="shared" si="48"/>
        <v>#N/A</v>
      </c>
      <c r="D333" s="3" t="e">
        <f t="shared" si="45"/>
        <v>#N/A</v>
      </c>
      <c r="E333" s="3" t="e">
        <f t="shared" si="46"/>
        <v>#N/A</v>
      </c>
      <c r="U333" s="1" t="s">
        <v>1810</v>
      </c>
      <c r="V333" t="str">
        <f t="shared" si="43"/>
        <v>T5b*0,3</v>
      </c>
      <c r="W333" s="3">
        <f t="shared" si="44"/>
        <v>0.27</v>
      </c>
    </row>
    <row r="334" spans="1:23" x14ac:dyDescent="0.3">
      <c r="A334" s="6" t="e">
        <f t="shared" si="42"/>
        <v>#N/A</v>
      </c>
      <c r="B334" s="3" t="e">
        <f t="shared" si="47"/>
        <v>#N/A</v>
      </c>
      <c r="C334" s="3" t="e">
        <f t="shared" si="48"/>
        <v>#N/A</v>
      </c>
      <c r="D334" s="3" t="e">
        <f t="shared" si="45"/>
        <v>#N/A</v>
      </c>
      <c r="E334" s="3" t="e">
        <f t="shared" si="46"/>
        <v>#N/A</v>
      </c>
      <c r="U334" s="1" t="s">
        <v>1810</v>
      </c>
      <c r="V334" t="str">
        <f t="shared" si="43"/>
        <v>T5c*0,3</v>
      </c>
      <c r="W334" s="3">
        <f t="shared" si="44"/>
        <v>0.27</v>
      </c>
    </row>
    <row r="335" spans="1:23" x14ac:dyDescent="0.3">
      <c r="A335" s="6" t="e">
        <f t="shared" si="42"/>
        <v>#N/A</v>
      </c>
      <c r="B335" s="3" t="e">
        <f t="shared" si="47"/>
        <v>#N/A</v>
      </c>
      <c r="C335" s="3" t="e">
        <f t="shared" si="48"/>
        <v>#N/A</v>
      </c>
      <c r="D335" s="3" t="e">
        <f t="shared" si="45"/>
        <v>#N/A</v>
      </c>
      <c r="E335" s="3" t="e">
        <f t="shared" si="46"/>
        <v>#N/A</v>
      </c>
      <c r="U335" s="1" t="s">
        <v>1810</v>
      </c>
      <c r="V335" t="str">
        <f t="shared" si="43"/>
        <v>T5d*0,3</v>
      </c>
      <c r="W335" s="3">
        <f t="shared" si="44"/>
        <v>0.27</v>
      </c>
    </row>
    <row r="336" spans="1:23" x14ac:dyDescent="0.3">
      <c r="A336" s="6" t="e">
        <f t="shared" si="42"/>
        <v>#N/A</v>
      </c>
      <c r="B336" s="3" t="e">
        <f t="shared" si="47"/>
        <v>#N/A</v>
      </c>
      <c r="C336" s="3" t="e">
        <f t="shared" si="48"/>
        <v>#N/A</v>
      </c>
      <c r="D336" s="3" t="e">
        <f t="shared" si="45"/>
        <v>#N/A</v>
      </c>
      <c r="E336" s="3" t="e">
        <f t="shared" si="46"/>
        <v>#N/A</v>
      </c>
      <c r="U336" s="1" t="s">
        <v>1810</v>
      </c>
      <c r="V336" t="str">
        <f t="shared" si="43"/>
        <v>T5e*0,3</v>
      </c>
      <c r="W336" s="3">
        <f t="shared" si="44"/>
        <v>0.27</v>
      </c>
    </row>
    <row r="337" spans="1:23" x14ac:dyDescent="0.3">
      <c r="A337" s="6" t="e">
        <f t="shared" si="42"/>
        <v>#N/A</v>
      </c>
      <c r="B337" s="3" t="e">
        <f t="shared" si="47"/>
        <v>#N/A</v>
      </c>
      <c r="C337" s="3" t="e">
        <f t="shared" si="48"/>
        <v>#N/A</v>
      </c>
      <c r="D337" s="3" t="e">
        <f t="shared" si="45"/>
        <v>#N/A</v>
      </c>
      <c r="E337" s="3" t="e">
        <f t="shared" si="46"/>
        <v>#N/A</v>
      </c>
      <c r="U337" s="1" t="s">
        <v>1810</v>
      </c>
      <c r="V337" t="str">
        <f t="shared" si="43"/>
        <v>T6a*0,3</v>
      </c>
      <c r="W337" s="3">
        <f t="shared" si="44"/>
        <v>0.33</v>
      </c>
    </row>
    <row r="338" spans="1:23" x14ac:dyDescent="0.3">
      <c r="A338" s="6" t="e">
        <f t="shared" si="42"/>
        <v>#N/A</v>
      </c>
      <c r="B338" s="3" t="e">
        <f t="shared" si="47"/>
        <v>#N/A</v>
      </c>
      <c r="C338" s="3" t="e">
        <f t="shared" si="48"/>
        <v>#N/A</v>
      </c>
      <c r="D338" s="3" t="e">
        <f t="shared" si="45"/>
        <v>#N/A</v>
      </c>
      <c r="E338" s="3" t="e">
        <f t="shared" si="46"/>
        <v>#N/A</v>
      </c>
      <c r="U338" s="1" t="s">
        <v>1810</v>
      </c>
      <c r="V338" t="str">
        <f t="shared" si="43"/>
        <v>T6b*0,3</v>
      </c>
      <c r="W338" s="3">
        <f t="shared" si="44"/>
        <v>0.33</v>
      </c>
    </row>
    <row r="339" spans="1:23" x14ac:dyDescent="0.3">
      <c r="A339" s="6" t="e">
        <f t="shared" si="42"/>
        <v>#N/A</v>
      </c>
      <c r="B339" s="3" t="e">
        <f t="shared" si="47"/>
        <v>#N/A</v>
      </c>
      <c r="C339" s="3" t="e">
        <f t="shared" si="48"/>
        <v>#N/A</v>
      </c>
      <c r="D339" s="3" t="e">
        <f t="shared" si="45"/>
        <v>#N/A</v>
      </c>
      <c r="E339" s="3" t="e">
        <f t="shared" si="46"/>
        <v>#N/A</v>
      </c>
      <c r="U339" s="1" t="s">
        <v>1810</v>
      </c>
      <c r="V339" t="str">
        <f t="shared" si="43"/>
        <v>T6c*0,3</v>
      </c>
      <c r="W339" s="3">
        <f t="shared" si="44"/>
        <v>0.33</v>
      </c>
    </row>
    <row r="340" spans="1:23" x14ac:dyDescent="0.3">
      <c r="A340" s="6" t="e">
        <f t="shared" si="42"/>
        <v>#N/A</v>
      </c>
      <c r="B340" s="3" t="e">
        <f t="shared" si="47"/>
        <v>#N/A</v>
      </c>
      <c r="C340" s="3" t="e">
        <f t="shared" si="48"/>
        <v>#N/A</v>
      </c>
      <c r="D340" s="3" t="e">
        <f t="shared" si="45"/>
        <v>#N/A</v>
      </c>
      <c r="E340" s="3" t="e">
        <f t="shared" si="46"/>
        <v>#N/A</v>
      </c>
      <c r="U340" s="1" t="s">
        <v>1810</v>
      </c>
      <c r="V340" t="str">
        <f t="shared" si="43"/>
        <v>T7*0,3</v>
      </c>
      <c r="W340" s="3">
        <f t="shared" si="44"/>
        <v>0.44999999999999996</v>
      </c>
    </row>
    <row r="341" spans="1:23" x14ac:dyDescent="0.3">
      <c r="A341" s="6" t="e">
        <f t="shared" si="42"/>
        <v>#N/A</v>
      </c>
      <c r="B341" s="3" t="e">
        <f t="shared" si="47"/>
        <v>#N/A</v>
      </c>
      <c r="C341" s="3" t="e">
        <f t="shared" si="48"/>
        <v>#N/A</v>
      </c>
      <c r="D341" s="3" t="e">
        <f t="shared" si="45"/>
        <v>#N/A</v>
      </c>
      <c r="E341" s="3" t="e">
        <f t="shared" si="46"/>
        <v>#N/A</v>
      </c>
      <c r="U341" s="1" t="s">
        <v>1810</v>
      </c>
      <c r="V341" t="str">
        <f t="shared" si="43"/>
        <v>T8*0,3</v>
      </c>
      <c r="W341" s="3">
        <f t="shared" si="44"/>
        <v>0.51</v>
      </c>
    </row>
    <row r="342" spans="1:23" x14ac:dyDescent="0.3">
      <c r="A342" s="6" t="e">
        <f t="shared" si="42"/>
        <v>#N/A</v>
      </c>
      <c r="B342" s="3" t="e">
        <f t="shared" si="47"/>
        <v>#N/A</v>
      </c>
      <c r="C342" s="3" t="e">
        <f t="shared" si="48"/>
        <v>#N/A</v>
      </c>
      <c r="D342" s="3" t="e">
        <f t="shared" si="45"/>
        <v>#N/A</v>
      </c>
      <c r="E342" s="3" t="e">
        <f t="shared" si="46"/>
        <v>#N/A</v>
      </c>
      <c r="U342" s="1" t="s">
        <v>1810</v>
      </c>
      <c r="V342" t="str">
        <f t="shared" si="43"/>
        <v>T9a*0,3</v>
      </c>
      <c r="W342" s="3">
        <f t="shared" si="44"/>
        <v>0.6</v>
      </c>
    </row>
    <row r="343" spans="1:23" x14ac:dyDescent="0.3">
      <c r="A343" s="6" t="e">
        <f t="shared" si="42"/>
        <v>#N/A</v>
      </c>
      <c r="B343" s="3" t="e">
        <f t="shared" si="47"/>
        <v>#N/A</v>
      </c>
      <c r="C343" s="3" t="e">
        <f t="shared" si="48"/>
        <v>#N/A</v>
      </c>
      <c r="D343" s="3" t="e">
        <f t="shared" si="45"/>
        <v>#N/A</v>
      </c>
      <c r="E343" s="3" t="e">
        <f t="shared" si="46"/>
        <v>#N/A</v>
      </c>
      <c r="U343" s="1" t="s">
        <v>1810</v>
      </c>
      <c r="V343" t="str">
        <f t="shared" si="43"/>
        <v>T9b*0,3</v>
      </c>
      <c r="W343" s="3">
        <f t="shared" si="44"/>
        <v>0.6</v>
      </c>
    </row>
    <row r="344" spans="1:23" x14ac:dyDescent="0.3">
      <c r="A344" s="6" t="e">
        <f t="shared" si="42"/>
        <v>#N/A</v>
      </c>
      <c r="B344" s="3" t="e">
        <f t="shared" si="47"/>
        <v>#N/A</v>
      </c>
      <c r="C344" s="3" t="e">
        <f t="shared" si="48"/>
        <v>#N/A</v>
      </c>
      <c r="D344" s="3" t="e">
        <f t="shared" si="45"/>
        <v>#N/A</v>
      </c>
      <c r="E344" s="3" t="e">
        <f t="shared" si="46"/>
        <v>#N/A</v>
      </c>
      <c r="U344" s="1" t="s">
        <v>1811</v>
      </c>
      <c r="V344" t="str">
        <f t="shared" si="43"/>
        <v>SB*0,3</v>
      </c>
      <c r="W344" s="3">
        <f t="shared" si="44"/>
        <v>4.4999999999999998E-2</v>
      </c>
    </row>
    <row r="345" spans="1:23" x14ac:dyDescent="0.3">
      <c r="A345" s="6" t="e">
        <f t="shared" si="42"/>
        <v>#N/A</v>
      </c>
      <c r="B345" s="3" t="e">
        <f t="shared" si="47"/>
        <v>#N/A</v>
      </c>
      <c r="C345" s="3" t="e">
        <f t="shared" si="48"/>
        <v>#N/A</v>
      </c>
      <c r="D345" s="3" t="e">
        <f t="shared" si="45"/>
        <v>#N/A</v>
      </c>
      <c r="E345" s="3" t="e">
        <f t="shared" si="46"/>
        <v>#N/A</v>
      </c>
      <c r="U345" s="1" t="s">
        <v>1811</v>
      </c>
      <c r="V345" t="str">
        <f t="shared" si="43"/>
        <v>SCB*0,3</v>
      </c>
      <c r="W345" s="3">
        <f t="shared" si="44"/>
        <v>0.105</v>
      </c>
    </row>
    <row r="346" spans="1:23" x14ac:dyDescent="0.3">
      <c r="A346" s="6" t="e">
        <f t="shared" si="42"/>
        <v>#N/A</v>
      </c>
      <c r="B346" s="3" t="e">
        <f t="shared" si="47"/>
        <v>#N/A</v>
      </c>
      <c r="C346" s="3" t="e">
        <f t="shared" si="48"/>
        <v>#N/A</v>
      </c>
      <c r="D346" s="3" t="e">
        <f t="shared" si="45"/>
        <v>#N/A</v>
      </c>
      <c r="E346" s="3" t="e">
        <f t="shared" si="46"/>
        <v>#N/A</v>
      </c>
      <c r="U346" s="1" t="s">
        <v>1811</v>
      </c>
      <c r="V346" t="str">
        <f t="shared" si="43"/>
        <v>SCDB*0,3</v>
      </c>
      <c r="W346" s="3">
        <f t="shared" si="44"/>
        <v>0.12</v>
      </c>
    </row>
    <row r="347" spans="1:23" x14ac:dyDescent="0.3">
      <c r="A347" s="6" t="e">
        <f t="shared" si="42"/>
        <v>#N/A</v>
      </c>
      <c r="B347" s="3" t="e">
        <f t="shared" si="47"/>
        <v>#N/A</v>
      </c>
      <c r="C347" s="3" t="e">
        <f t="shared" si="48"/>
        <v>#N/A</v>
      </c>
      <c r="D347" s="3" t="e">
        <f t="shared" si="45"/>
        <v>#N/A</v>
      </c>
      <c r="E347" s="3" t="e">
        <f t="shared" si="46"/>
        <v>#N/A</v>
      </c>
      <c r="U347" s="1" t="s">
        <v>1811</v>
      </c>
      <c r="V347" t="str">
        <f t="shared" si="43"/>
        <v>S1*0,3</v>
      </c>
      <c r="W347" s="3">
        <f t="shared" si="44"/>
        <v>0.105</v>
      </c>
    </row>
    <row r="348" spans="1:23" x14ac:dyDescent="0.3">
      <c r="A348" s="6" t="e">
        <f t="shared" si="42"/>
        <v>#N/A</v>
      </c>
      <c r="B348" s="3" t="e">
        <f t="shared" si="47"/>
        <v>#N/A</v>
      </c>
      <c r="C348" s="3" t="e">
        <f t="shared" si="48"/>
        <v>#N/A</v>
      </c>
      <c r="D348" s="3" t="e">
        <f t="shared" si="45"/>
        <v>#N/A</v>
      </c>
      <c r="E348" s="3" t="e">
        <f t="shared" si="46"/>
        <v>#N/A</v>
      </c>
      <c r="U348" s="1" t="s">
        <v>1811</v>
      </c>
      <c r="V348" t="str">
        <f t="shared" si="43"/>
        <v>SC1*0,3</v>
      </c>
      <c r="W348" s="3">
        <f t="shared" si="44"/>
        <v>0.24</v>
      </c>
    </row>
    <row r="349" spans="1:23" x14ac:dyDescent="0.3">
      <c r="A349" s="6" t="e">
        <f t="shared" si="42"/>
        <v>#N/A</v>
      </c>
      <c r="B349" s="3" t="e">
        <f t="shared" si="47"/>
        <v>#N/A</v>
      </c>
      <c r="C349" s="3" t="e">
        <f t="shared" si="48"/>
        <v>#N/A</v>
      </c>
      <c r="D349" s="3" t="e">
        <f t="shared" si="45"/>
        <v>#N/A</v>
      </c>
      <c r="E349" s="3" t="e">
        <f t="shared" si="46"/>
        <v>#N/A</v>
      </c>
      <c r="U349" s="1" t="s">
        <v>1811</v>
      </c>
      <c r="V349" t="str">
        <f t="shared" si="43"/>
        <v>SCD1*0,3</v>
      </c>
      <c r="W349" s="3">
        <f t="shared" si="44"/>
        <v>0.255</v>
      </c>
    </row>
    <row r="350" spans="1:23" x14ac:dyDescent="0.3">
      <c r="A350" s="6" t="e">
        <f t="shared" si="42"/>
        <v>#N/A</v>
      </c>
      <c r="B350" s="3" t="e">
        <f t="shared" si="47"/>
        <v>#N/A</v>
      </c>
      <c r="C350" s="3" t="e">
        <f t="shared" si="48"/>
        <v>#N/A</v>
      </c>
      <c r="D350" s="3" t="e">
        <f t="shared" si="45"/>
        <v>#N/A</v>
      </c>
      <c r="E350" s="3" t="e">
        <f t="shared" si="46"/>
        <v>#N/A</v>
      </c>
      <c r="U350" s="1" t="s">
        <v>1811</v>
      </c>
      <c r="V350" t="str">
        <f t="shared" si="43"/>
        <v>S2*0,3</v>
      </c>
      <c r="W350" s="3">
        <f t="shared" si="44"/>
        <v>0.22499999999999998</v>
      </c>
    </row>
    <row r="351" spans="1:23" x14ac:dyDescent="0.3">
      <c r="A351" s="6" t="e">
        <f t="shared" si="42"/>
        <v>#N/A</v>
      </c>
      <c r="B351" s="3" t="e">
        <f t="shared" si="47"/>
        <v>#N/A</v>
      </c>
      <c r="C351" s="3" t="e">
        <f t="shared" si="48"/>
        <v>#N/A</v>
      </c>
      <c r="D351" s="3" t="e">
        <f t="shared" si="45"/>
        <v>#N/A</v>
      </c>
      <c r="E351" s="3" t="e">
        <f t="shared" si="46"/>
        <v>#N/A</v>
      </c>
      <c r="U351" s="1" t="s">
        <v>1811</v>
      </c>
      <c r="V351" t="str">
        <f t="shared" si="43"/>
        <v>SC2*0,3</v>
      </c>
      <c r="W351" s="3">
        <f t="shared" si="44"/>
        <v>0.48</v>
      </c>
    </row>
    <row r="352" spans="1:23" x14ac:dyDescent="0.3">
      <c r="A352" s="6" t="e">
        <f t="shared" si="42"/>
        <v>#N/A</v>
      </c>
      <c r="B352" s="3" t="e">
        <f t="shared" si="47"/>
        <v>#N/A</v>
      </c>
      <c r="C352" s="3" t="e">
        <f t="shared" si="48"/>
        <v>#N/A</v>
      </c>
      <c r="D352" s="3" t="e">
        <f t="shared" si="45"/>
        <v>#N/A</v>
      </c>
      <c r="E352" s="3" t="e">
        <f t="shared" si="46"/>
        <v>#N/A</v>
      </c>
      <c r="U352" s="1" t="s">
        <v>1811</v>
      </c>
      <c r="V352" t="str">
        <f t="shared" si="43"/>
        <v>SCD2*0,3</v>
      </c>
      <c r="W352" s="3">
        <f t="shared" si="44"/>
        <v>0.49499999999999994</v>
      </c>
    </row>
    <row r="353" spans="1:23" x14ac:dyDescent="0.3">
      <c r="A353" s="6" t="e">
        <f t="shared" si="42"/>
        <v>#N/A</v>
      </c>
      <c r="B353" s="3" t="e">
        <f t="shared" si="47"/>
        <v>#N/A</v>
      </c>
      <c r="C353" s="3" t="e">
        <f t="shared" si="48"/>
        <v>#N/A</v>
      </c>
      <c r="D353" s="3" t="e">
        <f t="shared" si="45"/>
        <v>#N/A</v>
      </c>
      <c r="E353" s="3" t="e">
        <f t="shared" si="46"/>
        <v>#N/A</v>
      </c>
      <c r="U353" s="1" t="s">
        <v>1811</v>
      </c>
      <c r="V353" t="str">
        <f t="shared" si="43"/>
        <v>S3*0,3</v>
      </c>
      <c r="W353" s="3">
        <f t="shared" si="44"/>
        <v>0.34499999999999997</v>
      </c>
    </row>
    <row r="354" spans="1:23" x14ac:dyDescent="0.3">
      <c r="A354" s="6" t="e">
        <f t="shared" si="42"/>
        <v>#N/A</v>
      </c>
      <c r="B354" s="3" t="e">
        <f t="shared" si="47"/>
        <v>#N/A</v>
      </c>
      <c r="C354" s="3" t="e">
        <f t="shared" si="48"/>
        <v>#N/A</v>
      </c>
      <c r="D354" s="3" t="e">
        <f t="shared" si="45"/>
        <v>#N/A</v>
      </c>
      <c r="E354" s="3" t="e">
        <f t="shared" si="46"/>
        <v>#N/A</v>
      </c>
      <c r="U354" s="1" t="s">
        <v>1811</v>
      </c>
      <c r="V354" t="str">
        <f t="shared" si="43"/>
        <v>SC3*0,3</v>
      </c>
      <c r="W354" s="3">
        <f t="shared" si="44"/>
        <v>0.72</v>
      </c>
    </row>
    <row r="355" spans="1:23" x14ac:dyDescent="0.3">
      <c r="A355" s="6" t="e">
        <f t="shared" si="42"/>
        <v>#N/A</v>
      </c>
      <c r="B355" s="3" t="e">
        <f t="shared" si="47"/>
        <v>#N/A</v>
      </c>
      <c r="C355" s="3" t="e">
        <f t="shared" si="48"/>
        <v>#N/A</v>
      </c>
      <c r="D355" s="3" t="e">
        <f t="shared" si="45"/>
        <v>#N/A</v>
      </c>
      <c r="E355" s="3" t="e">
        <f t="shared" si="46"/>
        <v>#N/A</v>
      </c>
      <c r="U355" s="1" t="s">
        <v>1811</v>
      </c>
      <c r="V355" t="str">
        <f t="shared" si="43"/>
        <v>SCD3*0,3</v>
      </c>
      <c r="W355" s="3">
        <f t="shared" si="44"/>
        <v>0.73499999999999999</v>
      </c>
    </row>
    <row r="356" spans="1:23" x14ac:dyDescent="0.3">
      <c r="A356" s="6" t="e">
        <f t="shared" ref="A356:A419" si="49">IF($B$1="Solo",IF(L355="","",L355),IF($B$1="Duet",IF(O355="","",O355),IF($B$1="Mixed",IF(R355="","",R355),IF(U355="","",U355))))</f>
        <v>#N/A</v>
      </c>
      <c r="B356" s="3" t="e">
        <f t="shared" si="47"/>
        <v>#N/A</v>
      </c>
      <c r="C356" s="3" t="e">
        <f t="shared" si="48"/>
        <v>#N/A</v>
      </c>
      <c r="D356" s="3" t="e">
        <f t="shared" si="45"/>
        <v>#N/A</v>
      </c>
      <c r="E356" s="3" t="e">
        <f t="shared" si="46"/>
        <v>#N/A</v>
      </c>
      <c r="U356" s="1" t="s">
        <v>1811</v>
      </c>
      <c r="V356" t="str">
        <f t="shared" si="43"/>
        <v>S4*0,3</v>
      </c>
      <c r="W356" s="3">
        <f t="shared" si="44"/>
        <v>0.46499999999999997</v>
      </c>
    </row>
    <row r="357" spans="1:23" x14ac:dyDescent="0.3">
      <c r="A357" s="6" t="e">
        <f t="shared" si="49"/>
        <v>#N/A</v>
      </c>
      <c r="B357" s="3" t="e">
        <f t="shared" si="47"/>
        <v>#N/A</v>
      </c>
      <c r="C357" s="3" t="e">
        <f t="shared" si="48"/>
        <v>#N/A</v>
      </c>
      <c r="D357" s="3" t="e">
        <f t="shared" si="45"/>
        <v>#N/A</v>
      </c>
      <c r="E357" s="3" t="e">
        <f t="shared" si="46"/>
        <v>#N/A</v>
      </c>
      <c r="U357" s="1" t="s">
        <v>1811</v>
      </c>
      <c r="V357" t="str">
        <f t="shared" si="43"/>
        <v>SC4*0,3</v>
      </c>
      <c r="W357" s="3">
        <f t="shared" si="44"/>
        <v>0.96</v>
      </c>
    </row>
    <row r="358" spans="1:23" x14ac:dyDescent="0.3">
      <c r="A358" s="6" t="e">
        <f t="shared" si="49"/>
        <v>#N/A</v>
      </c>
      <c r="B358" s="3" t="e">
        <f t="shared" si="47"/>
        <v>#N/A</v>
      </c>
      <c r="C358" s="3" t="e">
        <f t="shared" si="48"/>
        <v>#N/A</v>
      </c>
      <c r="D358" s="3" t="e">
        <f t="shared" si="45"/>
        <v>#N/A</v>
      </c>
      <c r="E358" s="3" t="e">
        <f t="shared" si="46"/>
        <v>#N/A</v>
      </c>
      <c r="U358" s="1" t="s">
        <v>1811</v>
      </c>
      <c r="V358" t="str">
        <f t="shared" si="43"/>
        <v>SCD4*0,3</v>
      </c>
      <c r="W358" s="3">
        <f t="shared" si="44"/>
        <v>0.97499999999999998</v>
      </c>
    </row>
    <row r="359" spans="1:23" x14ac:dyDescent="0.3">
      <c r="A359" s="6" t="e">
        <f t="shared" si="49"/>
        <v>#N/A</v>
      </c>
      <c r="B359" s="3" t="e">
        <f t="shared" si="47"/>
        <v>#N/A</v>
      </c>
      <c r="C359" s="3" t="e">
        <f t="shared" si="48"/>
        <v>#N/A</v>
      </c>
      <c r="D359" s="3" t="e">
        <f t="shared" si="45"/>
        <v>#N/A</v>
      </c>
      <c r="E359" s="3" t="e">
        <f t="shared" si="46"/>
        <v>#N/A</v>
      </c>
      <c r="U359" s="1" t="s">
        <v>1811</v>
      </c>
      <c r="V359" t="str">
        <f t="shared" si="43"/>
        <v>S5*0,3</v>
      </c>
      <c r="W359" s="3">
        <f t="shared" si="44"/>
        <v>0.58499999999999996</v>
      </c>
    </row>
    <row r="360" spans="1:23" x14ac:dyDescent="0.3">
      <c r="A360" s="6" t="e">
        <f t="shared" si="49"/>
        <v>#N/A</v>
      </c>
      <c r="B360" s="3" t="e">
        <f t="shared" si="47"/>
        <v>#N/A</v>
      </c>
      <c r="C360" s="3" t="e">
        <f t="shared" si="48"/>
        <v>#N/A</v>
      </c>
      <c r="D360" s="3" t="e">
        <f t="shared" si="45"/>
        <v>#N/A</v>
      </c>
      <c r="E360" s="3" t="e">
        <f t="shared" si="46"/>
        <v>#N/A</v>
      </c>
      <c r="U360" s="1" t="s">
        <v>1811</v>
      </c>
      <c r="V360" t="str">
        <f t="shared" si="43"/>
        <v>SC5*0,3</v>
      </c>
      <c r="W360" s="3">
        <f t="shared" si="44"/>
        <v>1.2</v>
      </c>
    </row>
    <row r="361" spans="1:23" x14ac:dyDescent="0.3">
      <c r="A361" s="6" t="e">
        <f t="shared" si="49"/>
        <v>#N/A</v>
      </c>
      <c r="B361" s="3" t="e">
        <f t="shared" si="47"/>
        <v>#N/A</v>
      </c>
      <c r="C361" s="3" t="e">
        <f t="shared" si="48"/>
        <v>#N/A</v>
      </c>
      <c r="D361" s="3" t="e">
        <f t="shared" si="45"/>
        <v>#N/A</v>
      </c>
      <c r="E361" s="3" t="e">
        <f t="shared" si="46"/>
        <v>#N/A</v>
      </c>
      <c r="U361" s="1" t="s">
        <v>1811</v>
      </c>
      <c r="V361" t="str">
        <f t="shared" si="43"/>
        <v>SCD5*0,3</v>
      </c>
      <c r="W361" s="3">
        <f t="shared" si="44"/>
        <v>1.2149999999999999</v>
      </c>
    </row>
    <row r="362" spans="1:23" x14ac:dyDescent="0.3">
      <c r="A362" s="6" t="e">
        <f t="shared" si="49"/>
        <v>#N/A</v>
      </c>
      <c r="B362" s="3" t="e">
        <f t="shared" si="47"/>
        <v>#N/A</v>
      </c>
      <c r="C362" s="3" t="e">
        <f t="shared" si="48"/>
        <v>#N/A</v>
      </c>
      <c r="D362" s="3" t="e">
        <f t="shared" si="45"/>
        <v>#N/A</v>
      </c>
      <c r="E362" s="3" t="e">
        <f t="shared" si="46"/>
        <v>#N/A</v>
      </c>
      <c r="U362" s="1" t="s">
        <v>1811</v>
      </c>
      <c r="V362" t="str">
        <f t="shared" si="43"/>
        <v>S6*0,3</v>
      </c>
      <c r="W362" s="3">
        <f t="shared" si="44"/>
        <v>0.70499999999999996</v>
      </c>
    </row>
    <row r="363" spans="1:23" x14ac:dyDescent="0.3">
      <c r="A363" s="6" t="e">
        <f t="shared" si="49"/>
        <v>#N/A</v>
      </c>
      <c r="B363" s="3" t="e">
        <f t="shared" si="47"/>
        <v>#N/A</v>
      </c>
      <c r="C363" s="3" t="e">
        <f t="shared" si="48"/>
        <v>#N/A</v>
      </c>
      <c r="D363" s="3" t="e">
        <f t="shared" si="45"/>
        <v>#N/A</v>
      </c>
      <c r="E363" s="3" t="e">
        <f t="shared" si="46"/>
        <v>#N/A</v>
      </c>
      <c r="U363" s="1" t="s">
        <v>1811</v>
      </c>
      <c r="V363" t="str">
        <f t="shared" si="43"/>
        <v>SC6*0,3</v>
      </c>
      <c r="W363" s="3">
        <f t="shared" si="44"/>
        <v>1.44</v>
      </c>
    </row>
    <row r="364" spans="1:23" x14ac:dyDescent="0.3">
      <c r="A364" s="6" t="e">
        <f t="shared" si="49"/>
        <v>#N/A</v>
      </c>
      <c r="B364" s="3" t="e">
        <f t="shared" si="47"/>
        <v>#N/A</v>
      </c>
      <c r="C364" s="3" t="e">
        <f t="shared" si="48"/>
        <v>#N/A</v>
      </c>
      <c r="D364" s="3" t="e">
        <f t="shared" si="45"/>
        <v>#N/A</v>
      </c>
      <c r="E364" s="3" t="e">
        <f t="shared" si="46"/>
        <v>#N/A</v>
      </c>
      <c r="U364" s="1" t="s">
        <v>1811</v>
      </c>
      <c r="V364" t="str">
        <f t="shared" si="43"/>
        <v>SCD6*0,3</v>
      </c>
      <c r="W364" s="3">
        <f t="shared" si="44"/>
        <v>1.4549999999999998</v>
      </c>
    </row>
    <row r="365" spans="1:23" x14ac:dyDescent="0.3">
      <c r="A365" s="6" t="e">
        <f t="shared" si="49"/>
        <v>#N/A</v>
      </c>
      <c r="B365" s="3" t="e">
        <f t="shared" si="47"/>
        <v>#N/A</v>
      </c>
      <c r="C365" s="3" t="e">
        <f t="shared" si="48"/>
        <v>#N/A</v>
      </c>
      <c r="D365" s="3" t="e">
        <f t="shared" si="45"/>
        <v>#N/A</v>
      </c>
      <c r="E365" s="3" t="e">
        <f t="shared" si="46"/>
        <v>#N/A</v>
      </c>
      <c r="U365" s="1" t="s">
        <v>1811</v>
      </c>
      <c r="V365" t="str">
        <f t="shared" si="43"/>
        <v>S7*0,3</v>
      </c>
      <c r="W365" s="3">
        <f t="shared" si="44"/>
        <v>0.82499999999999996</v>
      </c>
    </row>
    <row r="366" spans="1:23" x14ac:dyDescent="0.3">
      <c r="A366" s="6" t="e">
        <f t="shared" si="49"/>
        <v>#N/A</v>
      </c>
      <c r="B366" s="3" t="e">
        <f t="shared" si="47"/>
        <v>#N/A</v>
      </c>
      <c r="C366" s="3" t="e">
        <f t="shared" si="48"/>
        <v>#N/A</v>
      </c>
      <c r="D366" s="3" t="e">
        <f t="shared" si="45"/>
        <v>#N/A</v>
      </c>
      <c r="E366" s="3" t="e">
        <f t="shared" si="46"/>
        <v>#N/A</v>
      </c>
      <c r="U366" s="1" t="s">
        <v>1811</v>
      </c>
      <c r="V366" t="str">
        <f t="shared" si="43"/>
        <v>S8*0,3</v>
      </c>
      <c r="W366" s="3">
        <f t="shared" si="44"/>
        <v>0.94499999999999995</v>
      </c>
    </row>
    <row r="367" spans="1:23" x14ac:dyDescent="0.3">
      <c r="A367" s="6" t="e">
        <f t="shared" si="49"/>
        <v>#N/A</v>
      </c>
      <c r="B367" s="3" t="e">
        <f t="shared" si="47"/>
        <v>#N/A</v>
      </c>
      <c r="C367" s="3" t="e">
        <f t="shared" si="48"/>
        <v>#N/A</v>
      </c>
      <c r="D367" s="3" t="e">
        <f t="shared" si="45"/>
        <v>#N/A</v>
      </c>
      <c r="E367" s="3" t="e">
        <f t="shared" si="46"/>
        <v>#N/A</v>
      </c>
      <c r="U367" s="1" t="s">
        <v>1811</v>
      </c>
      <c r="V367" t="str">
        <f t="shared" si="43"/>
        <v>S9*0,3</v>
      </c>
      <c r="W367" s="3">
        <f t="shared" si="44"/>
        <v>1.0649999999999999</v>
      </c>
    </row>
    <row r="368" spans="1:23" x14ac:dyDescent="0.3">
      <c r="A368" s="6" t="e">
        <f t="shared" si="49"/>
        <v>#N/A</v>
      </c>
      <c r="B368" s="3" t="e">
        <f t="shared" si="47"/>
        <v>#N/A</v>
      </c>
      <c r="C368" s="3" t="e">
        <f t="shared" si="48"/>
        <v>#N/A</v>
      </c>
      <c r="D368" s="3" t="e">
        <f t="shared" si="45"/>
        <v>#N/A</v>
      </c>
      <c r="E368" s="3" t="e">
        <f t="shared" si="46"/>
        <v>#N/A</v>
      </c>
      <c r="U368" s="1" t="s">
        <v>1811</v>
      </c>
      <c r="V368" t="str">
        <f t="shared" si="43"/>
        <v>S10*0,3</v>
      </c>
      <c r="W368" s="3">
        <f t="shared" si="44"/>
        <v>1.1850000000000001</v>
      </c>
    </row>
    <row r="369" spans="1:23" x14ac:dyDescent="0.3">
      <c r="A369" s="6" t="e">
        <f t="shared" si="49"/>
        <v>#N/A</v>
      </c>
      <c r="B369" s="3" t="e">
        <f t="shared" si="47"/>
        <v>#N/A</v>
      </c>
      <c r="C369" s="3" t="e">
        <f t="shared" si="48"/>
        <v>#N/A</v>
      </c>
      <c r="D369" s="3" t="e">
        <f t="shared" si="45"/>
        <v>#N/A</v>
      </c>
      <c r="E369" s="3" t="e">
        <f t="shared" si="46"/>
        <v>#N/A</v>
      </c>
      <c r="U369" s="1" t="s">
        <v>1812</v>
      </c>
      <c r="V369" t="str">
        <f t="shared" si="43"/>
        <v>RB*0,3</v>
      </c>
      <c r="W369" s="3">
        <f t="shared" si="44"/>
        <v>0.03</v>
      </c>
    </row>
    <row r="370" spans="1:23" x14ac:dyDescent="0.3">
      <c r="A370" s="6" t="e">
        <f t="shared" si="49"/>
        <v>#N/A</v>
      </c>
      <c r="B370" s="3" t="e">
        <f t="shared" si="47"/>
        <v>#N/A</v>
      </c>
      <c r="C370" s="3" t="e">
        <f t="shared" si="48"/>
        <v>#N/A</v>
      </c>
      <c r="D370" s="3" t="e">
        <f t="shared" si="45"/>
        <v>#N/A</v>
      </c>
      <c r="E370" s="3" t="e">
        <f t="shared" si="46"/>
        <v>#N/A</v>
      </c>
      <c r="U370" s="1" t="s">
        <v>1812</v>
      </c>
      <c r="V370" t="str">
        <f t="shared" si="43"/>
        <v>1RB*0,3</v>
      </c>
      <c r="W370" s="3">
        <f t="shared" si="44"/>
        <v>4.4999999999999998E-2</v>
      </c>
    </row>
    <row r="371" spans="1:23" x14ac:dyDescent="0.3">
      <c r="A371" s="6" t="e">
        <f t="shared" si="49"/>
        <v>#N/A</v>
      </c>
      <c r="B371" s="3" t="e">
        <f t="shared" si="47"/>
        <v>#N/A</v>
      </c>
      <c r="C371" s="3" t="e">
        <f t="shared" si="48"/>
        <v>#N/A</v>
      </c>
      <c r="D371" s="3" t="e">
        <f t="shared" si="45"/>
        <v>#N/A</v>
      </c>
      <c r="E371" s="3" t="e">
        <f t="shared" si="46"/>
        <v>#N/A</v>
      </c>
      <c r="U371" s="1" t="s">
        <v>1812</v>
      </c>
      <c r="V371" t="str">
        <f t="shared" si="43"/>
        <v>2RB*0,3</v>
      </c>
      <c r="W371" s="3">
        <f t="shared" si="44"/>
        <v>0.06</v>
      </c>
    </row>
    <row r="372" spans="1:23" x14ac:dyDescent="0.3">
      <c r="A372" s="6" t="e">
        <f t="shared" si="49"/>
        <v>#N/A</v>
      </c>
      <c r="B372" s="3" t="e">
        <f t="shared" si="47"/>
        <v>#N/A</v>
      </c>
      <c r="C372" s="3" t="e">
        <f t="shared" si="48"/>
        <v>#N/A</v>
      </c>
      <c r="D372" s="3" t="e">
        <f t="shared" si="45"/>
        <v>#N/A</v>
      </c>
      <c r="E372" s="3" t="e">
        <f t="shared" si="46"/>
        <v>#N/A</v>
      </c>
      <c r="U372" s="1" t="s">
        <v>1812</v>
      </c>
      <c r="V372" t="str">
        <f t="shared" si="43"/>
        <v>ROB*0,3</v>
      </c>
      <c r="W372" s="3">
        <f t="shared" si="44"/>
        <v>7.4999999999999997E-2</v>
      </c>
    </row>
    <row r="373" spans="1:23" x14ac:dyDescent="0.3">
      <c r="A373" s="6" t="e">
        <f t="shared" si="49"/>
        <v>#N/A</v>
      </c>
      <c r="B373" s="3" t="e">
        <f t="shared" si="47"/>
        <v>#N/A</v>
      </c>
      <c r="C373" s="3" t="e">
        <f t="shared" si="48"/>
        <v>#N/A</v>
      </c>
      <c r="D373" s="3" t="e">
        <f t="shared" si="45"/>
        <v>#N/A</v>
      </c>
      <c r="E373" s="3" t="e">
        <f t="shared" si="46"/>
        <v>#N/A</v>
      </c>
      <c r="U373" s="1" t="s">
        <v>1812</v>
      </c>
      <c r="V373" t="str">
        <f t="shared" si="43"/>
        <v>RCB*0,3</v>
      </c>
      <c r="W373" s="3">
        <f t="shared" si="44"/>
        <v>7.4999999999999997E-2</v>
      </c>
    </row>
    <row r="374" spans="1:23" x14ac:dyDescent="0.3">
      <c r="A374" s="6" t="e">
        <f t="shared" si="49"/>
        <v>#N/A</v>
      </c>
      <c r="B374" s="3" t="e">
        <f t="shared" si="47"/>
        <v>#N/A</v>
      </c>
      <c r="C374" s="3" t="e">
        <f t="shared" si="48"/>
        <v>#N/A</v>
      </c>
      <c r="D374" s="3" t="e">
        <f t="shared" si="45"/>
        <v>#N/A</v>
      </c>
      <c r="E374" s="3" t="e">
        <f t="shared" si="46"/>
        <v>#N/A</v>
      </c>
      <c r="U374" s="1" t="s">
        <v>1812</v>
      </c>
      <c r="V374" t="str">
        <f t="shared" si="43"/>
        <v>R1*0,3</v>
      </c>
      <c r="W374" s="3">
        <f t="shared" si="44"/>
        <v>0.06</v>
      </c>
    </row>
    <row r="375" spans="1:23" x14ac:dyDescent="0.3">
      <c r="A375" s="6" t="e">
        <f t="shared" si="49"/>
        <v>#N/A</v>
      </c>
      <c r="B375" s="3" t="e">
        <f t="shared" si="47"/>
        <v>#N/A</v>
      </c>
      <c r="C375" s="3" t="e">
        <f t="shared" si="48"/>
        <v>#N/A</v>
      </c>
      <c r="D375" s="3" t="e">
        <f t="shared" si="45"/>
        <v>#N/A</v>
      </c>
      <c r="E375" s="3" t="e">
        <f t="shared" si="46"/>
        <v>#N/A</v>
      </c>
      <c r="U375" s="1" t="s">
        <v>1812</v>
      </c>
      <c r="V375" t="str">
        <f t="shared" si="43"/>
        <v>1R1*0,3</v>
      </c>
      <c r="W375" s="3">
        <f t="shared" si="44"/>
        <v>0.105</v>
      </c>
    </row>
    <row r="376" spans="1:23" x14ac:dyDescent="0.3">
      <c r="A376" s="6" t="e">
        <f t="shared" si="49"/>
        <v>#N/A</v>
      </c>
      <c r="B376" s="3" t="e">
        <f t="shared" si="47"/>
        <v>#N/A</v>
      </c>
      <c r="C376" s="3" t="e">
        <f t="shared" si="48"/>
        <v>#N/A</v>
      </c>
      <c r="D376" s="3" t="e">
        <f t="shared" si="45"/>
        <v>#N/A</v>
      </c>
      <c r="E376" s="3" t="e">
        <f t="shared" si="46"/>
        <v>#N/A</v>
      </c>
      <c r="U376" s="1" t="s">
        <v>1812</v>
      </c>
      <c r="V376" t="str">
        <f t="shared" si="43"/>
        <v>2R1*0,3</v>
      </c>
      <c r="W376" s="3">
        <f t="shared" si="44"/>
        <v>0.13500000000000001</v>
      </c>
    </row>
    <row r="377" spans="1:23" x14ac:dyDescent="0.3">
      <c r="A377" s="6" t="e">
        <f t="shared" si="49"/>
        <v>#N/A</v>
      </c>
      <c r="B377" s="3" t="e">
        <f t="shared" si="47"/>
        <v>#N/A</v>
      </c>
      <c r="C377" s="3" t="e">
        <f t="shared" si="48"/>
        <v>#N/A</v>
      </c>
      <c r="D377" s="3" t="e">
        <f t="shared" si="45"/>
        <v>#N/A</v>
      </c>
      <c r="E377" s="3" t="e">
        <f t="shared" si="46"/>
        <v>#N/A</v>
      </c>
      <c r="U377" s="1" t="s">
        <v>1812</v>
      </c>
      <c r="V377" t="str">
        <f t="shared" si="43"/>
        <v>RD1*0,3</v>
      </c>
      <c r="W377" s="3">
        <f t="shared" si="44"/>
        <v>0.15</v>
      </c>
    </row>
    <row r="378" spans="1:23" x14ac:dyDescent="0.3">
      <c r="A378" s="6" t="e">
        <f t="shared" si="49"/>
        <v>#N/A</v>
      </c>
      <c r="B378" s="3" t="e">
        <f t="shared" si="47"/>
        <v>#N/A</v>
      </c>
      <c r="C378" s="3" t="e">
        <f t="shared" si="48"/>
        <v>#N/A</v>
      </c>
      <c r="D378" s="3" t="e">
        <f t="shared" si="45"/>
        <v>#N/A</v>
      </c>
      <c r="E378" s="3" t="e">
        <f t="shared" si="46"/>
        <v>#N/A</v>
      </c>
      <c r="U378" s="1" t="s">
        <v>1812</v>
      </c>
      <c r="V378" t="str">
        <f t="shared" si="43"/>
        <v>RU1*0,3</v>
      </c>
      <c r="W378" s="3">
        <f t="shared" si="44"/>
        <v>0.16500000000000001</v>
      </c>
    </row>
    <row r="379" spans="1:23" x14ac:dyDescent="0.3">
      <c r="A379" s="6" t="e">
        <f t="shared" si="49"/>
        <v>#N/A</v>
      </c>
      <c r="B379" s="3" t="e">
        <f t="shared" si="47"/>
        <v>#N/A</v>
      </c>
      <c r="C379" s="3" t="e">
        <f t="shared" si="48"/>
        <v>#N/A</v>
      </c>
      <c r="D379" s="3" t="e">
        <f t="shared" si="45"/>
        <v>#N/A</v>
      </c>
      <c r="E379" s="3" t="e">
        <f t="shared" si="46"/>
        <v>#N/A</v>
      </c>
      <c r="U379" s="1" t="s">
        <v>1812</v>
      </c>
      <c r="V379" t="str">
        <f t="shared" si="43"/>
        <v>RO1*0,3</v>
      </c>
      <c r="W379" s="3">
        <f t="shared" si="44"/>
        <v>0.16500000000000001</v>
      </c>
    </row>
    <row r="380" spans="1:23" x14ac:dyDescent="0.3">
      <c r="A380" s="6" t="e">
        <f t="shared" si="49"/>
        <v>#N/A</v>
      </c>
      <c r="B380" s="3" t="e">
        <f t="shared" si="47"/>
        <v>#N/A</v>
      </c>
      <c r="C380" s="3" t="e">
        <f t="shared" si="48"/>
        <v>#N/A</v>
      </c>
      <c r="D380" s="3" t="e">
        <f t="shared" si="45"/>
        <v>#N/A</v>
      </c>
      <c r="E380" s="3" t="e">
        <f t="shared" si="46"/>
        <v>#N/A</v>
      </c>
      <c r="U380" s="1" t="s">
        <v>1812</v>
      </c>
      <c r="V380" t="str">
        <f t="shared" si="43"/>
        <v>RC1*0,3</v>
      </c>
      <c r="W380" s="3">
        <f t="shared" si="44"/>
        <v>0.16500000000000001</v>
      </c>
    </row>
    <row r="381" spans="1:23" x14ac:dyDescent="0.3">
      <c r="A381" s="6" t="e">
        <f t="shared" si="49"/>
        <v>#N/A</v>
      </c>
      <c r="B381" s="3" t="e">
        <f t="shared" si="47"/>
        <v>#N/A</v>
      </c>
      <c r="C381" s="3" t="e">
        <f t="shared" si="48"/>
        <v>#N/A</v>
      </c>
      <c r="D381" s="3" t="e">
        <f t="shared" si="45"/>
        <v>#N/A</v>
      </c>
      <c r="E381" s="3" t="e">
        <f t="shared" si="46"/>
        <v>#N/A</v>
      </c>
      <c r="U381" s="1" t="s">
        <v>1812</v>
      </c>
      <c r="V381" t="str">
        <f t="shared" si="43"/>
        <v>R2*0,3</v>
      </c>
      <c r="W381" s="3">
        <f t="shared" si="44"/>
        <v>0.12</v>
      </c>
    </row>
    <row r="382" spans="1:23" x14ac:dyDescent="0.3">
      <c r="A382" s="6" t="e">
        <f t="shared" si="49"/>
        <v>#N/A</v>
      </c>
      <c r="B382" s="3" t="e">
        <f t="shared" si="47"/>
        <v>#N/A</v>
      </c>
      <c r="C382" s="3" t="e">
        <f t="shared" si="48"/>
        <v>#N/A</v>
      </c>
      <c r="D382" s="3" t="e">
        <f t="shared" si="45"/>
        <v>#N/A</v>
      </c>
      <c r="E382" s="3" t="e">
        <f t="shared" si="46"/>
        <v>#N/A</v>
      </c>
      <c r="U382" s="1" t="s">
        <v>1812</v>
      </c>
      <c r="V382" t="str">
        <f t="shared" si="43"/>
        <v>1R2*0,3</v>
      </c>
      <c r="W382" s="3">
        <f t="shared" si="44"/>
        <v>0.22499999999999998</v>
      </c>
    </row>
    <row r="383" spans="1:23" x14ac:dyDescent="0.3">
      <c r="A383" s="6" t="e">
        <f t="shared" si="49"/>
        <v>#N/A</v>
      </c>
      <c r="B383" s="3" t="e">
        <f t="shared" si="47"/>
        <v>#N/A</v>
      </c>
      <c r="C383" s="3" t="e">
        <f t="shared" si="48"/>
        <v>#N/A</v>
      </c>
      <c r="D383" s="3" t="e">
        <f t="shared" si="45"/>
        <v>#N/A</v>
      </c>
      <c r="E383" s="3" t="e">
        <f t="shared" si="46"/>
        <v>#N/A</v>
      </c>
      <c r="U383" s="1" t="s">
        <v>1812</v>
      </c>
      <c r="V383" t="str">
        <f t="shared" si="43"/>
        <v>2R2*0,3</v>
      </c>
      <c r="W383" s="3">
        <f t="shared" si="44"/>
        <v>0.28499999999999998</v>
      </c>
    </row>
    <row r="384" spans="1:23" x14ac:dyDescent="0.3">
      <c r="A384" s="6" t="e">
        <f t="shared" si="49"/>
        <v>#N/A</v>
      </c>
      <c r="B384" s="3" t="e">
        <f t="shared" si="47"/>
        <v>#N/A</v>
      </c>
      <c r="C384" s="3" t="e">
        <f t="shared" si="48"/>
        <v>#N/A</v>
      </c>
      <c r="D384" s="3" t="e">
        <f t="shared" si="45"/>
        <v>#N/A</v>
      </c>
      <c r="E384" s="3" t="e">
        <f t="shared" si="46"/>
        <v>#N/A</v>
      </c>
      <c r="U384" s="1" t="s">
        <v>1812</v>
      </c>
      <c r="V384" t="str">
        <f t="shared" ref="V384:V447" si="50">CONCATENATE(V68,"*0,3")</f>
        <v>RD2*0,3</v>
      </c>
      <c r="W384" s="3">
        <f t="shared" ref="W384:W447" si="51">W68*0.3</f>
        <v>0.315</v>
      </c>
    </row>
    <row r="385" spans="1:23" x14ac:dyDescent="0.3">
      <c r="A385" s="6" t="e">
        <f t="shared" si="49"/>
        <v>#N/A</v>
      </c>
      <c r="B385" s="3" t="e">
        <f t="shared" si="47"/>
        <v>#N/A</v>
      </c>
      <c r="C385" s="3" t="e">
        <f t="shared" si="48"/>
        <v>#N/A</v>
      </c>
      <c r="D385" s="3" t="e">
        <f t="shared" si="45"/>
        <v>#N/A</v>
      </c>
      <c r="E385" s="3" t="e">
        <f t="shared" si="46"/>
        <v>#N/A</v>
      </c>
      <c r="U385" s="1" t="s">
        <v>1812</v>
      </c>
      <c r="V385" t="str">
        <f t="shared" si="50"/>
        <v>RU2*0,3</v>
      </c>
      <c r="W385" s="3">
        <f t="shared" si="51"/>
        <v>0.34499999999999997</v>
      </c>
    </row>
    <row r="386" spans="1:23" x14ac:dyDescent="0.3">
      <c r="A386" s="6" t="e">
        <f t="shared" si="49"/>
        <v>#N/A</v>
      </c>
      <c r="B386" s="3" t="e">
        <f t="shared" si="47"/>
        <v>#N/A</v>
      </c>
      <c r="C386" s="3" t="e">
        <f t="shared" si="48"/>
        <v>#N/A</v>
      </c>
      <c r="D386" s="3" t="e">
        <f t="shared" si="45"/>
        <v>#N/A</v>
      </c>
      <c r="E386" s="3" t="e">
        <f t="shared" si="46"/>
        <v>#N/A</v>
      </c>
      <c r="U386" s="1" t="s">
        <v>1812</v>
      </c>
      <c r="V386" t="str">
        <f t="shared" si="50"/>
        <v>R3*0,3</v>
      </c>
      <c r="W386" s="3">
        <f t="shared" si="51"/>
        <v>0.18</v>
      </c>
    </row>
    <row r="387" spans="1:23" x14ac:dyDescent="0.3">
      <c r="A387" s="6" t="e">
        <f t="shared" si="49"/>
        <v>#N/A</v>
      </c>
      <c r="B387" s="3" t="e">
        <f t="shared" si="47"/>
        <v>#N/A</v>
      </c>
      <c r="C387" s="3" t="e">
        <f t="shared" si="48"/>
        <v>#N/A</v>
      </c>
      <c r="D387" s="3" t="e">
        <f t="shared" si="45"/>
        <v>#N/A</v>
      </c>
      <c r="E387" s="3" t="e">
        <f t="shared" si="46"/>
        <v>#N/A</v>
      </c>
      <c r="U387" s="1" t="s">
        <v>1812</v>
      </c>
      <c r="V387" t="str">
        <f t="shared" si="50"/>
        <v>1R3*0,3</v>
      </c>
      <c r="W387" s="3">
        <f t="shared" si="51"/>
        <v>0.34499999999999997</v>
      </c>
    </row>
    <row r="388" spans="1:23" x14ac:dyDescent="0.3">
      <c r="A388" s="6" t="e">
        <f t="shared" si="49"/>
        <v>#N/A</v>
      </c>
      <c r="B388" s="3" t="e">
        <f t="shared" si="47"/>
        <v>#N/A</v>
      </c>
      <c r="C388" s="3" t="e">
        <f t="shared" si="48"/>
        <v>#N/A</v>
      </c>
      <c r="D388" s="3" t="e">
        <f t="shared" si="45"/>
        <v>#N/A</v>
      </c>
      <c r="E388" s="3" t="e">
        <f t="shared" si="46"/>
        <v>#N/A</v>
      </c>
      <c r="U388" s="1" t="s">
        <v>1812</v>
      </c>
      <c r="V388" t="str">
        <f t="shared" si="50"/>
        <v>2R3*0,3</v>
      </c>
      <c r="W388" s="3">
        <f t="shared" si="51"/>
        <v>0.435</v>
      </c>
    </row>
    <row r="389" spans="1:23" x14ac:dyDescent="0.3">
      <c r="A389" s="6" t="e">
        <f t="shared" si="49"/>
        <v>#N/A</v>
      </c>
      <c r="B389" s="3" t="e">
        <f t="shared" si="47"/>
        <v>#N/A</v>
      </c>
      <c r="C389" s="3" t="e">
        <f t="shared" si="48"/>
        <v>#N/A</v>
      </c>
      <c r="D389" s="3" t="e">
        <f t="shared" ref="D389:D400" si="52">IF($D$1="Team",IF(AD388="","",AD388),"")</f>
        <v>#N/A</v>
      </c>
      <c r="E389" s="3" t="e">
        <f t="shared" ref="E389:E400" si="53">IF($D$1="Team",IF(AE388="","",AE388),"")</f>
        <v>#N/A</v>
      </c>
      <c r="U389" s="1" t="s">
        <v>1812</v>
      </c>
      <c r="V389" t="str">
        <f t="shared" si="50"/>
        <v>RU3*0,3</v>
      </c>
      <c r="W389" s="3">
        <f t="shared" si="51"/>
        <v>0.52500000000000002</v>
      </c>
    </row>
    <row r="390" spans="1:23" x14ac:dyDescent="0.3">
      <c r="A390" s="6" t="e">
        <f t="shared" si="49"/>
        <v>#N/A</v>
      </c>
      <c r="B390" s="3" t="e">
        <f t="shared" si="47"/>
        <v>#N/A</v>
      </c>
      <c r="C390" s="3" t="e">
        <f t="shared" si="48"/>
        <v>#N/A</v>
      </c>
      <c r="D390" s="3" t="e">
        <f t="shared" si="52"/>
        <v>#N/A</v>
      </c>
      <c r="E390" s="3" t="e">
        <f t="shared" si="53"/>
        <v>#N/A</v>
      </c>
      <c r="U390" s="1" t="s">
        <v>1812</v>
      </c>
      <c r="V390" t="str">
        <f t="shared" si="50"/>
        <v>R4*0,3</v>
      </c>
      <c r="W390" s="3">
        <f t="shared" si="51"/>
        <v>0.24</v>
      </c>
    </row>
    <row r="391" spans="1:23" x14ac:dyDescent="0.3">
      <c r="A391" s="6" t="e">
        <f t="shared" si="49"/>
        <v>#N/A</v>
      </c>
      <c r="B391" s="3" t="e">
        <f t="shared" si="47"/>
        <v>#N/A</v>
      </c>
      <c r="C391" s="3" t="e">
        <f t="shared" si="48"/>
        <v>#N/A</v>
      </c>
      <c r="D391" s="3" t="e">
        <f t="shared" si="52"/>
        <v>#N/A</v>
      </c>
      <c r="E391" s="3" t="e">
        <f t="shared" si="53"/>
        <v>#N/A</v>
      </c>
      <c r="U391" s="1" t="s">
        <v>1812</v>
      </c>
      <c r="V391" t="str">
        <f t="shared" si="50"/>
        <v>1R4*0,3</v>
      </c>
      <c r="W391" s="3">
        <f t="shared" si="51"/>
        <v>0.46499999999999997</v>
      </c>
    </row>
    <row r="392" spans="1:23" x14ac:dyDescent="0.3">
      <c r="A392" s="6" t="e">
        <f t="shared" si="49"/>
        <v>#N/A</v>
      </c>
      <c r="B392" s="3" t="e">
        <f t="shared" si="47"/>
        <v>#N/A</v>
      </c>
      <c r="C392" s="3" t="e">
        <f t="shared" si="48"/>
        <v>#N/A</v>
      </c>
      <c r="D392" s="3" t="e">
        <f t="shared" si="52"/>
        <v>#N/A</v>
      </c>
      <c r="E392" s="3" t="e">
        <f t="shared" si="53"/>
        <v>#N/A</v>
      </c>
      <c r="U392" s="1" t="s">
        <v>1812</v>
      </c>
      <c r="V392" t="str">
        <f t="shared" si="50"/>
        <v>2R4*0,3</v>
      </c>
      <c r="W392" s="3">
        <f t="shared" si="51"/>
        <v>0.58499999999999996</v>
      </c>
    </row>
    <row r="393" spans="1:23" x14ac:dyDescent="0.3">
      <c r="A393" s="6" t="e">
        <f t="shared" si="49"/>
        <v>#N/A</v>
      </c>
      <c r="B393" s="3" t="e">
        <f t="shared" ref="B393:B456" si="54">IF($B$1="Solo",IF(M392="","",M392),IF($B$1="Duet",IF(P392="","",P392),IF($B$1="Mixed",IF(S392="","",S392),IF(V392="","",V392))))</f>
        <v>#N/A</v>
      </c>
      <c r="C393" s="3" t="e">
        <f t="shared" ref="C393:C456" si="55">IF($B$1="Solo",IF(N392="","",N392),IF($B$1="Duet",IF(Q392="","",Q392),IF($B$1="Mixed",IF(T392="","",T392),IF(W392="","",W392))))</f>
        <v>#N/A</v>
      </c>
      <c r="D393" s="3" t="e">
        <f t="shared" si="52"/>
        <v>#N/A</v>
      </c>
      <c r="E393" s="3" t="e">
        <f t="shared" si="53"/>
        <v>#N/A</v>
      </c>
      <c r="U393" s="1" t="s">
        <v>1812</v>
      </c>
      <c r="V393" t="str">
        <f t="shared" si="50"/>
        <v>RD4*0,3</v>
      </c>
      <c r="W393" s="3">
        <f t="shared" si="51"/>
        <v>0.64499999999999991</v>
      </c>
    </row>
    <row r="394" spans="1:23" x14ac:dyDescent="0.3">
      <c r="A394" s="6" t="e">
        <f t="shared" si="49"/>
        <v>#N/A</v>
      </c>
      <c r="B394" s="3" t="e">
        <f t="shared" si="54"/>
        <v>#N/A</v>
      </c>
      <c r="C394" s="3" t="e">
        <f t="shared" si="55"/>
        <v>#N/A</v>
      </c>
      <c r="D394" s="3" t="e">
        <f t="shared" si="52"/>
        <v>#N/A</v>
      </c>
      <c r="E394" s="3" t="e">
        <f t="shared" si="53"/>
        <v>#N/A</v>
      </c>
      <c r="U394" s="1" t="s">
        <v>1812</v>
      </c>
      <c r="V394" t="str">
        <f t="shared" si="50"/>
        <v>RU4*0,3</v>
      </c>
      <c r="W394" s="3">
        <f t="shared" si="51"/>
        <v>0.70499999999999996</v>
      </c>
    </row>
    <row r="395" spans="1:23" x14ac:dyDescent="0.3">
      <c r="A395" s="6" t="e">
        <f t="shared" si="49"/>
        <v>#N/A</v>
      </c>
      <c r="B395" s="3" t="e">
        <f t="shared" si="54"/>
        <v>#N/A</v>
      </c>
      <c r="C395" s="3" t="e">
        <f t="shared" si="55"/>
        <v>#N/A</v>
      </c>
      <c r="D395" s="3" t="e">
        <f t="shared" si="52"/>
        <v>#N/A</v>
      </c>
      <c r="E395" s="3" t="e">
        <f t="shared" si="53"/>
        <v>#N/A</v>
      </c>
      <c r="U395" s="1" t="s">
        <v>1812</v>
      </c>
      <c r="V395" t="str">
        <f t="shared" si="50"/>
        <v>1R5*0,3</v>
      </c>
      <c r="W395" s="3">
        <f t="shared" si="51"/>
        <v>0.58499999999999996</v>
      </c>
    </row>
    <row r="396" spans="1:23" x14ac:dyDescent="0.3">
      <c r="A396" s="6" t="e">
        <f t="shared" si="49"/>
        <v>#N/A</v>
      </c>
      <c r="B396" s="3" t="e">
        <f t="shared" si="54"/>
        <v>#N/A</v>
      </c>
      <c r="C396" s="3" t="e">
        <f t="shared" si="55"/>
        <v>#N/A</v>
      </c>
      <c r="D396" s="3" t="e">
        <f t="shared" si="52"/>
        <v>#N/A</v>
      </c>
      <c r="E396" s="3" t="e">
        <f t="shared" si="53"/>
        <v>#N/A</v>
      </c>
      <c r="U396" s="1" t="s">
        <v>1812</v>
      </c>
      <c r="V396" t="str">
        <f t="shared" si="50"/>
        <v>2R5*0,3</v>
      </c>
      <c r="W396" s="3">
        <f t="shared" si="51"/>
        <v>0.73499999999999999</v>
      </c>
    </row>
    <row r="397" spans="1:23" x14ac:dyDescent="0.3">
      <c r="A397" s="6" t="e">
        <f t="shared" si="49"/>
        <v>#N/A</v>
      </c>
      <c r="B397" s="3" t="e">
        <f t="shared" si="54"/>
        <v>#N/A</v>
      </c>
      <c r="C397" s="3" t="e">
        <f t="shared" si="55"/>
        <v>#N/A</v>
      </c>
      <c r="D397" s="3" t="e">
        <f t="shared" si="52"/>
        <v>#N/A</v>
      </c>
      <c r="E397" s="3" t="e">
        <f t="shared" si="53"/>
        <v>#N/A</v>
      </c>
      <c r="U397" s="1" t="s">
        <v>1812</v>
      </c>
      <c r="V397" t="str">
        <f t="shared" si="50"/>
        <v>RU5*0,3</v>
      </c>
      <c r="W397" s="3">
        <f t="shared" si="51"/>
        <v>0.88500000000000001</v>
      </c>
    </row>
    <row r="398" spans="1:23" x14ac:dyDescent="0.3">
      <c r="A398" s="6" t="e">
        <f t="shared" si="49"/>
        <v>#N/A</v>
      </c>
      <c r="B398" s="3" t="e">
        <f t="shared" si="54"/>
        <v>#N/A</v>
      </c>
      <c r="C398" s="3" t="e">
        <f t="shared" si="55"/>
        <v>#N/A</v>
      </c>
      <c r="D398" s="3" t="e">
        <f t="shared" si="52"/>
        <v>#N/A</v>
      </c>
      <c r="E398" s="3" t="e">
        <f t="shared" si="53"/>
        <v>#N/A</v>
      </c>
      <c r="U398" s="1" t="s">
        <v>1812</v>
      </c>
      <c r="V398" t="str">
        <f t="shared" si="50"/>
        <v>1R6*0,3</v>
      </c>
      <c r="W398" s="3">
        <f t="shared" si="51"/>
        <v>0.70499999999999996</v>
      </c>
    </row>
    <row r="399" spans="1:23" x14ac:dyDescent="0.3">
      <c r="A399" s="6" t="e">
        <f t="shared" si="49"/>
        <v>#N/A</v>
      </c>
      <c r="B399" s="3" t="e">
        <f t="shared" si="54"/>
        <v>#N/A</v>
      </c>
      <c r="C399" s="3" t="e">
        <f t="shared" si="55"/>
        <v>#N/A</v>
      </c>
      <c r="D399" s="3" t="e">
        <f t="shared" si="52"/>
        <v>#N/A</v>
      </c>
      <c r="E399" s="3" t="e">
        <f t="shared" si="53"/>
        <v>#N/A</v>
      </c>
      <c r="U399" s="1" t="s">
        <v>1812</v>
      </c>
      <c r="V399" t="str">
        <f t="shared" si="50"/>
        <v>2R6*0,3</v>
      </c>
      <c r="W399" s="3">
        <f t="shared" si="51"/>
        <v>0.88500000000000001</v>
      </c>
    </row>
    <row r="400" spans="1:23" x14ac:dyDescent="0.3">
      <c r="A400" s="6" t="e">
        <f t="shared" si="49"/>
        <v>#N/A</v>
      </c>
      <c r="B400" s="3" t="e">
        <f t="shared" si="54"/>
        <v>#N/A</v>
      </c>
      <c r="C400" s="3" t="e">
        <f t="shared" si="55"/>
        <v>#N/A</v>
      </c>
      <c r="D400" s="3" t="e">
        <f t="shared" si="52"/>
        <v>#N/A</v>
      </c>
      <c r="E400" s="3" t="e">
        <f t="shared" si="53"/>
        <v>#N/A</v>
      </c>
      <c r="U400" s="1" t="s">
        <v>1812</v>
      </c>
      <c r="V400" t="str">
        <f t="shared" si="50"/>
        <v>RD6*0,3</v>
      </c>
      <c r="W400" s="3">
        <f t="shared" si="51"/>
        <v>1.0049999999999999</v>
      </c>
    </row>
    <row r="401" spans="1:23" x14ac:dyDescent="0.3">
      <c r="A401" s="6" t="e">
        <f t="shared" si="49"/>
        <v>#N/A</v>
      </c>
      <c r="B401" s="3" t="e">
        <f t="shared" si="54"/>
        <v>#N/A</v>
      </c>
      <c r="C401" s="3" t="e">
        <f t="shared" si="55"/>
        <v>#N/A</v>
      </c>
      <c r="U401" s="1" t="s">
        <v>1812</v>
      </c>
      <c r="V401" t="str">
        <f t="shared" si="50"/>
        <v>RU6*0,3</v>
      </c>
      <c r="W401" s="3">
        <f t="shared" si="51"/>
        <v>1.0649999999999999</v>
      </c>
    </row>
    <row r="402" spans="1:23" x14ac:dyDescent="0.3">
      <c r="A402" s="6" t="e">
        <f t="shared" si="49"/>
        <v>#N/A</v>
      </c>
      <c r="B402" s="3" t="e">
        <f t="shared" si="54"/>
        <v>#N/A</v>
      </c>
      <c r="C402" s="3" t="e">
        <f t="shared" si="55"/>
        <v>#N/A</v>
      </c>
      <c r="U402" s="1" t="s">
        <v>1812</v>
      </c>
      <c r="V402" t="str">
        <f t="shared" si="50"/>
        <v>2R7*0,3</v>
      </c>
      <c r="W402" s="3">
        <f t="shared" si="51"/>
        <v>1.0349999999999999</v>
      </c>
    </row>
    <row r="403" spans="1:23" x14ac:dyDescent="0.3">
      <c r="A403" s="6" t="e">
        <f t="shared" si="49"/>
        <v>#N/A</v>
      </c>
      <c r="B403" s="3" t="e">
        <f t="shared" si="54"/>
        <v>#N/A</v>
      </c>
      <c r="C403" s="3" t="e">
        <f t="shared" si="55"/>
        <v>#N/A</v>
      </c>
      <c r="U403" s="1" t="s">
        <v>1812</v>
      </c>
      <c r="V403" t="str">
        <f t="shared" si="50"/>
        <v>RU7*0,3</v>
      </c>
      <c r="W403" s="3">
        <f t="shared" si="51"/>
        <v>1.2450000000000001</v>
      </c>
    </row>
    <row r="404" spans="1:23" x14ac:dyDescent="0.3">
      <c r="A404" s="6" t="e">
        <f t="shared" si="49"/>
        <v>#N/A</v>
      </c>
      <c r="B404" s="3" t="e">
        <f t="shared" si="54"/>
        <v>#N/A</v>
      </c>
      <c r="C404" s="3" t="e">
        <f t="shared" si="55"/>
        <v>#N/A</v>
      </c>
      <c r="U404" s="1" t="s">
        <v>1812</v>
      </c>
      <c r="V404" t="str">
        <f t="shared" si="50"/>
        <v>2R8*0,3</v>
      </c>
      <c r="W404" s="3">
        <f t="shared" si="51"/>
        <v>1.1850000000000001</v>
      </c>
    </row>
    <row r="405" spans="1:23" x14ac:dyDescent="0.3">
      <c r="A405" s="6" t="e">
        <f t="shared" si="49"/>
        <v>#N/A</v>
      </c>
      <c r="B405" s="3" t="e">
        <f t="shared" si="54"/>
        <v>#N/A</v>
      </c>
      <c r="C405" s="3" t="e">
        <f t="shared" si="55"/>
        <v>#N/A</v>
      </c>
      <c r="U405" s="1" t="s">
        <v>1812</v>
      </c>
      <c r="V405" t="str">
        <f t="shared" si="50"/>
        <v>RU8*0,3</v>
      </c>
      <c r="W405" s="3">
        <f t="shared" si="51"/>
        <v>1.425</v>
      </c>
    </row>
    <row r="406" spans="1:23" x14ac:dyDescent="0.3">
      <c r="A406" s="6" t="e">
        <f t="shared" si="49"/>
        <v>#N/A</v>
      </c>
      <c r="B406" s="3" t="e">
        <f t="shared" si="54"/>
        <v>#N/A</v>
      </c>
      <c r="C406" s="3" t="e">
        <f t="shared" si="55"/>
        <v>#N/A</v>
      </c>
      <c r="U406" s="1" t="s">
        <v>1812</v>
      </c>
      <c r="V406" t="str">
        <f t="shared" si="50"/>
        <v>2R9*0,3</v>
      </c>
      <c r="W406" s="3">
        <f t="shared" si="51"/>
        <v>1.335</v>
      </c>
    </row>
    <row r="407" spans="1:23" x14ac:dyDescent="0.3">
      <c r="A407" s="6" t="e">
        <f t="shared" si="49"/>
        <v>#N/A</v>
      </c>
      <c r="B407" s="3" t="e">
        <f t="shared" si="54"/>
        <v>#N/A</v>
      </c>
      <c r="C407" s="3" t="e">
        <f t="shared" si="55"/>
        <v>#N/A</v>
      </c>
      <c r="U407" s="1" t="s">
        <v>1812</v>
      </c>
      <c r="V407" t="str">
        <f t="shared" si="50"/>
        <v>RU9*0,3</v>
      </c>
      <c r="W407" s="3">
        <f t="shared" si="51"/>
        <v>1.6049999999999998</v>
      </c>
    </row>
    <row r="408" spans="1:23" x14ac:dyDescent="0.3">
      <c r="A408" s="6" t="e">
        <f t="shared" si="49"/>
        <v>#N/A</v>
      </c>
      <c r="B408" s="3" t="e">
        <f t="shared" si="54"/>
        <v>#N/A</v>
      </c>
      <c r="C408" s="3" t="e">
        <f t="shared" si="55"/>
        <v>#N/A</v>
      </c>
      <c r="U408" s="1" t="s">
        <v>1812</v>
      </c>
      <c r="V408" t="str">
        <f t="shared" si="50"/>
        <v>2R10*0,3</v>
      </c>
      <c r="W408" s="3">
        <f t="shared" si="51"/>
        <v>1.4850000000000001</v>
      </c>
    </row>
    <row r="409" spans="1:23" x14ac:dyDescent="0.3">
      <c r="A409" s="6" t="e">
        <f t="shared" si="49"/>
        <v>#N/A</v>
      </c>
      <c r="B409" s="3" t="e">
        <f t="shared" si="54"/>
        <v>#N/A</v>
      </c>
      <c r="C409" s="3" t="e">
        <f t="shared" si="55"/>
        <v>#N/A</v>
      </c>
      <c r="U409" s="1" t="s">
        <v>1812</v>
      </c>
      <c r="V409" t="str">
        <f t="shared" si="50"/>
        <v>RU10*0,3</v>
      </c>
      <c r="W409" s="3">
        <f t="shared" si="51"/>
        <v>1.7849999999999999</v>
      </c>
    </row>
    <row r="410" spans="1:23" x14ac:dyDescent="0.3">
      <c r="A410" s="6" t="e">
        <f t="shared" si="49"/>
        <v>#N/A</v>
      </c>
      <c r="B410" s="3" t="e">
        <f t="shared" si="54"/>
        <v>#N/A</v>
      </c>
      <c r="C410" s="3" t="e">
        <f t="shared" si="55"/>
        <v>#N/A</v>
      </c>
      <c r="U410" s="1" t="s">
        <v>1676</v>
      </c>
      <c r="V410" t="str">
        <f t="shared" si="50"/>
        <v>AB*0,3</v>
      </c>
      <c r="W410" s="3">
        <f t="shared" si="51"/>
        <v>1.4999999999999999E-2</v>
      </c>
    </row>
    <row r="411" spans="1:23" x14ac:dyDescent="0.3">
      <c r="A411" s="6" t="e">
        <f t="shared" si="49"/>
        <v>#N/A</v>
      </c>
      <c r="B411" s="3" t="e">
        <f t="shared" si="54"/>
        <v>#N/A</v>
      </c>
      <c r="C411" s="3" t="e">
        <f t="shared" si="55"/>
        <v>#N/A</v>
      </c>
      <c r="U411" s="1" t="s">
        <v>1676</v>
      </c>
      <c r="V411" t="str">
        <f t="shared" si="50"/>
        <v>A1a*0,3</v>
      </c>
      <c r="W411" s="3">
        <f t="shared" si="51"/>
        <v>0.03</v>
      </c>
    </row>
    <row r="412" spans="1:23" x14ac:dyDescent="0.3">
      <c r="A412" s="6" t="e">
        <f t="shared" si="49"/>
        <v>#N/A</v>
      </c>
      <c r="B412" s="3" t="e">
        <f t="shared" si="54"/>
        <v>#N/A</v>
      </c>
      <c r="C412" s="3" t="e">
        <f t="shared" si="55"/>
        <v>#N/A</v>
      </c>
      <c r="U412" s="1" t="s">
        <v>1676</v>
      </c>
      <c r="V412" t="str">
        <f t="shared" si="50"/>
        <v>A1b*0,3</v>
      </c>
      <c r="W412" s="3">
        <f t="shared" si="51"/>
        <v>0.03</v>
      </c>
    </row>
    <row r="413" spans="1:23" x14ac:dyDescent="0.3">
      <c r="A413" s="6" t="e">
        <f t="shared" si="49"/>
        <v>#N/A</v>
      </c>
      <c r="B413" s="3" t="e">
        <f t="shared" si="54"/>
        <v>#N/A</v>
      </c>
      <c r="C413" s="3" t="e">
        <f t="shared" si="55"/>
        <v>#N/A</v>
      </c>
      <c r="U413" s="1" t="s">
        <v>1676</v>
      </c>
      <c r="V413" t="str">
        <f t="shared" si="50"/>
        <v>A1c*0,3</v>
      </c>
      <c r="W413" s="3">
        <f t="shared" si="51"/>
        <v>0.03</v>
      </c>
    </row>
    <row r="414" spans="1:23" x14ac:dyDescent="0.3">
      <c r="A414" s="6" t="e">
        <f t="shared" si="49"/>
        <v>#N/A</v>
      </c>
      <c r="B414" s="3" t="e">
        <f t="shared" si="54"/>
        <v>#N/A</v>
      </c>
      <c r="C414" s="3" t="e">
        <f t="shared" si="55"/>
        <v>#N/A</v>
      </c>
      <c r="U414" s="1" t="s">
        <v>1676</v>
      </c>
      <c r="V414" t="str">
        <f t="shared" si="50"/>
        <v>A1d*0,3</v>
      </c>
      <c r="W414" s="3">
        <f t="shared" si="51"/>
        <v>0.03</v>
      </c>
    </row>
    <row r="415" spans="1:23" x14ac:dyDescent="0.3">
      <c r="A415" s="6" t="e">
        <f t="shared" si="49"/>
        <v>#N/A</v>
      </c>
      <c r="B415" s="3" t="e">
        <f t="shared" si="54"/>
        <v>#N/A</v>
      </c>
      <c r="C415" s="3" t="e">
        <f t="shared" si="55"/>
        <v>#N/A</v>
      </c>
      <c r="U415" s="1" t="s">
        <v>1676</v>
      </c>
      <c r="V415" t="str">
        <f t="shared" si="50"/>
        <v>A2a*0,3</v>
      </c>
      <c r="W415" s="3">
        <f t="shared" si="51"/>
        <v>4.4999999999999998E-2</v>
      </c>
    </row>
    <row r="416" spans="1:23" x14ac:dyDescent="0.3">
      <c r="A416" s="6" t="e">
        <f t="shared" si="49"/>
        <v>#N/A</v>
      </c>
      <c r="B416" s="3" t="e">
        <f t="shared" si="54"/>
        <v>#N/A</v>
      </c>
      <c r="C416" s="3" t="e">
        <f t="shared" si="55"/>
        <v>#N/A</v>
      </c>
      <c r="U416" s="1" t="s">
        <v>1676</v>
      </c>
      <c r="V416" t="str">
        <f t="shared" si="50"/>
        <v>A2b*0,3</v>
      </c>
      <c r="W416" s="3">
        <f t="shared" si="51"/>
        <v>4.4999999999999998E-2</v>
      </c>
    </row>
    <row r="417" spans="1:23" x14ac:dyDescent="0.3">
      <c r="A417" s="6" t="e">
        <f t="shared" si="49"/>
        <v>#N/A</v>
      </c>
      <c r="B417" s="3" t="e">
        <f t="shared" si="54"/>
        <v>#N/A</v>
      </c>
      <c r="C417" s="3" t="e">
        <f t="shared" si="55"/>
        <v>#N/A</v>
      </c>
      <c r="U417" s="1" t="s">
        <v>1676</v>
      </c>
      <c r="V417" t="str">
        <f t="shared" si="50"/>
        <v>A3a*0,3</v>
      </c>
      <c r="W417" s="3">
        <f t="shared" si="51"/>
        <v>0.06</v>
      </c>
    </row>
    <row r="418" spans="1:23" x14ac:dyDescent="0.3">
      <c r="A418" s="6" t="e">
        <f t="shared" si="49"/>
        <v>#N/A</v>
      </c>
      <c r="B418" s="3" t="e">
        <f t="shared" si="54"/>
        <v>#N/A</v>
      </c>
      <c r="C418" s="3" t="e">
        <f t="shared" si="55"/>
        <v>#N/A</v>
      </c>
      <c r="U418" s="1" t="s">
        <v>1676</v>
      </c>
      <c r="V418" t="str">
        <f t="shared" si="50"/>
        <v>A3b*0,3</v>
      </c>
      <c r="W418" s="3">
        <f t="shared" si="51"/>
        <v>0.06</v>
      </c>
    </row>
    <row r="419" spans="1:23" x14ac:dyDescent="0.3">
      <c r="A419" s="6" t="e">
        <f t="shared" si="49"/>
        <v>#N/A</v>
      </c>
      <c r="B419" s="3" t="e">
        <f t="shared" si="54"/>
        <v>#N/A</v>
      </c>
      <c r="C419" s="3" t="e">
        <f t="shared" si="55"/>
        <v>#N/A</v>
      </c>
      <c r="U419" s="1" t="s">
        <v>1676</v>
      </c>
      <c r="V419" t="str">
        <f t="shared" si="50"/>
        <v>A4a*0,3</v>
      </c>
      <c r="W419" s="3">
        <f t="shared" si="51"/>
        <v>0.13500000000000001</v>
      </c>
    </row>
    <row r="420" spans="1:23" x14ac:dyDescent="0.3">
      <c r="A420" s="6" t="e">
        <f t="shared" ref="A420:A481" si="56">IF($B$1="Solo",IF(L419="","",L419),IF($B$1="Duet",IF(O419="","",O419),IF($B$1="Mixed",IF(R419="","",R419),IF(U419="","",U419))))</f>
        <v>#N/A</v>
      </c>
      <c r="B420" s="3" t="e">
        <f t="shared" si="54"/>
        <v>#N/A</v>
      </c>
      <c r="C420" s="3" t="e">
        <f t="shared" si="55"/>
        <v>#N/A</v>
      </c>
      <c r="U420" s="1" t="s">
        <v>1676</v>
      </c>
      <c r="V420" t="str">
        <f t="shared" si="50"/>
        <v>A4b*0,3</v>
      </c>
      <c r="W420" s="3">
        <f t="shared" si="51"/>
        <v>0.13500000000000001</v>
      </c>
    </row>
    <row r="421" spans="1:23" x14ac:dyDescent="0.3">
      <c r="A421" s="6" t="e">
        <f t="shared" si="56"/>
        <v>#N/A</v>
      </c>
      <c r="B421" s="3" t="e">
        <f t="shared" si="54"/>
        <v>#N/A</v>
      </c>
      <c r="C421" s="3" t="e">
        <f t="shared" si="55"/>
        <v>#N/A</v>
      </c>
      <c r="U421" s="1" t="s">
        <v>1676</v>
      </c>
      <c r="V421" t="str">
        <f t="shared" si="50"/>
        <v>A5*0,3</v>
      </c>
      <c r="W421" s="3">
        <f t="shared" si="51"/>
        <v>0.19500000000000001</v>
      </c>
    </row>
    <row r="422" spans="1:23" x14ac:dyDescent="0.3">
      <c r="A422" s="6" t="e">
        <f t="shared" si="56"/>
        <v>#N/A</v>
      </c>
      <c r="B422" s="3" t="e">
        <f t="shared" si="54"/>
        <v>#N/A</v>
      </c>
      <c r="C422" s="3" t="e">
        <f t="shared" si="55"/>
        <v>#N/A</v>
      </c>
      <c r="U422" s="1" t="s">
        <v>1676</v>
      </c>
      <c r="V422" t="str">
        <f t="shared" si="50"/>
        <v>A6*0,3</v>
      </c>
      <c r="W422" s="3">
        <f t="shared" si="51"/>
        <v>0.34499999999999997</v>
      </c>
    </row>
    <row r="423" spans="1:23" x14ac:dyDescent="0.3">
      <c r="A423" s="6" t="e">
        <f t="shared" si="56"/>
        <v>#N/A</v>
      </c>
      <c r="B423" s="3" t="e">
        <f t="shared" si="54"/>
        <v>#N/A</v>
      </c>
      <c r="C423" s="3" t="e">
        <f t="shared" si="55"/>
        <v>#N/A</v>
      </c>
      <c r="U423" s="1" t="s">
        <v>1676</v>
      </c>
      <c r="V423" t="str">
        <f t="shared" si="50"/>
        <v>A7*0,3</v>
      </c>
      <c r="W423" s="3">
        <f t="shared" si="51"/>
        <v>0.435</v>
      </c>
    </row>
    <row r="424" spans="1:23" x14ac:dyDescent="0.3">
      <c r="A424" s="6" t="e">
        <f t="shared" si="56"/>
        <v>#N/A</v>
      </c>
      <c r="B424" s="3" t="e">
        <f t="shared" si="54"/>
        <v>#N/A</v>
      </c>
      <c r="C424" s="3" t="e">
        <f t="shared" si="55"/>
        <v>#N/A</v>
      </c>
      <c r="U424" s="1" t="s">
        <v>1676</v>
      </c>
      <c r="V424" t="str">
        <f t="shared" si="50"/>
        <v>A8*0,3</v>
      </c>
      <c r="W424" s="3">
        <f t="shared" si="51"/>
        <v>0.49499999999999994</v>
      </c>
    </row>
    <row r="425" spans="1:23" x14ac:dyDescent="0.3">
      <c r="A425" s="6" t="e">
        <f t="shared" si="56"/>
        <v>#N/A</v>
      </c>
      <c r="B425" s="3" t="e">
        <f t="shared" si="54"/>
        <v>#N/A</v>
      </c>
      <c r="C425" s="3" t="e">
        <f t="shared" si="55"/>
        <v>#N/A</v>
      </c>
      <c r="U425" s="1" t="s">
        <v>631</v>
      </c>
      <c r="V425" t="str">
        <f t="shared" si="50"/>
        <v>FB*0,3</v>
      </c>
      <c r="W425" s="3">
        <f t="shared" si="51"/>
        <v>1.4999999999999999E-2</v>
      </c>
    </row>
    <row r="426" spans="1:23" x14ac:dyDescent="0.3">
      <c r="A426" s="6" t="e">
        <f t="shared" si="56"/>
        <v>#N/A</v>
      </c>
      <c r="B426" s="3" t="e">
        <f t="shared" si="54"/>
        <v>#N/A</v>
      </c>
      <c r="C426" s="3" t="e">
        <f t="shared" si="55"/>
        <v>#N/A</v>
      </c>
      <c r="U426" s="1" t="s">
        <v>631</v>
      </c>
      <c r="V426" t="str">
        <f t="shared" si="50"/>
        <v>F1a*0,3</v>
      </c>
      <c r="W426" s="3">
        <f t="shared" si="51"/>
        <v>0.03</v>
      </c>
    </row>
    <row r="427" spans="1:23" x14ac:dyDescent="0.3">
      <c r="A427" s="6" t="e">
        <f t="shared" si="56"/>
        <v>#N/A</v>
      </c>
      <c r="B427" s="3" t="e">
        <f t="shared" si="54"/>
        <v>#N/A</v>
      </c>
      <c r="C427" s="3" t="e">
        <f t="shared" si="55"/>
        <v>#N/A</v>
      </c>
      <c r="U427" s="1" t="s">
        <v>631</v>
      </c>
      <c r="V427" t="str">
        <f t="shared" si="50"/>
        <v>F1b*0,3</v>
      </c>
      <c r="W427" s="3">
        <f t="shared" si="51"/>
        <v>0.03</v>
      </c>
    </row>
    <row r="428" spans="1:23" x14ac:dyDescent="0.3">
      <c r="A428" s="6" t="e">
        <f t="shared" si="56"/>
        <v>#N/A</v>
      </c>
      <c r="B428" s="3" t="e">
        <f t="shared" si="54"/>
        <v>#N/A</v>
      </c>
      <c r="C428" s="3" t="e">
        <f t="shared" si="55"/>
        <v>#N/A</v>
      </c>
      <c r="U428" s="1" t="s">
        <v>631</v>
      </c>
      <c r="V428" t="str">
        <f t="shared" si="50"/>
        <v>F1c*0,3</v>
      </c>
      <c r="W428" s="3">
        <f t="shared" si="51"/>
        <v>0.03</v>
      </c>
    </row>
    <row r="429" spans="1:23" x14ac:dyDescent="0.3">
      <c r="A429" s="6" t="e">
        <f t="shared" si="56"/>
        <v>#N/A</v>
      </c>
      <c r="B429" s="3" t="e">
        <f t="shared" si="54"/>
        <v>#N/A</v>
      </c>
      <c r="C429" s="3" t="e">
        <f t="shared" si="55"/>
        <v>#N/A</v>
      </c>
      <c r="U429" s="1" t="s">
        <v>631</v>
      </c>
      <c r="V429" t="str">
        <f t="shared" si="50"/>
        <v>F2a*0,3</v>
      </c>
      <c r="W429" s="3">
        <f t="shared" si="51"/>
        <v>0.06</v>
      </c>
    </row>
    <row r="430" spans="1:23" x14ac:dyDescent="0.3">
      <c r="A430" s="6" t="e">
        <f t="shared" si="56"/>
        <v>#N/A</v>
      </c>
      <c r="B430" s="3" t="e">
        <f t="shared" si="54"/>
        <v>#N/A</v>
      </c>
      <c r="C430" s="3" t="e">
        <f t="shared" si="55"/>
        <v>#N/A</v>
      </c>
      <c r="U430" s="1" t="s">
        <v>631</v>
      </c>
      <c r="V430" t="str">
        <f t="shared" si="50"/>
        <v>F2b*0,3</v>
      </c>
      <c r="W430" s="3">
        <f t="shared" si="51"/>
        <v>0.06</v>
      </c>
    </row>
    <row r="431" spans="1:23" x14ac:dyDescent="0.3">
      <c r="A431" s="6" t="e">
        <f t="shared" si="56"/>
        <v>#N/A</v>
      </c>
      <c r="B431" s="3" t="e">
        <f t="shared" si="54"/>
        <v>#N/A</v>
      </c>
      <c r="C431" s="3" t="e">
        <f t="shared" si="55"/>
        <v>#N/A</v>
      </c>
      <c r="U431" s="1" t="s">
        <v>631</v>
      </c>
      <c r="V431" t="str">
        <f t="shared" si="50"/>
        <v>F2c*0,3</v>
      </c>
      <c r="W431" s="3">
        <f t="shared" si="51"/>
        <v>0.06</v>
      </c>
    </row>
    <row r="432" spans="1:23" x14ac:dyDescent="0.3">
      <c r="A432" s="6" t="e">
        <f t="shared" si="56"/>
        <v>#N/A</v>
      </c>
      <c r="B432" s="3" t="e">
        <f t="shared" si="54"/>
        <v>#N/A</v>
      </c>
      <c r="C432" s="3" t="e">
        <f t="shared" si="55"/>
        <v>#N/A</v>
      </c>
      <c r="U432" s="1" t="s">
        <v>631</v>
      </c>
      <c r="V432" t="str">
        <f t="shared" si="50"/>
        <v>F3a*0,3</v>
      </c>
      <c r="W432" s="3">
        <f t="shared" si="51"/>
        <v>0.09</v>
      </c>
    </row>
    <row r="433" spans="1:23" x14ac:dyDescent="0.3">
      <c r="A433" s="6" t="e">
        <f t="shared" si="56"/>
        <v>#N/A</v>
      </c>
      <c r="B433" s="3" t="e">
        <f t="shared" si="54"/>
        <v>#N/A</v>
      </c>
      <c r="C433" s="3" t="e">
        <f t="shared" si="55"/>
        <v>#N/A</v>
      </c>
      <c r="U433" s="1" t="s">
        <v>631</v>
      </c>
      <c r="V433" t="str">
        <f t="shared" si="50"/>
        <v>F3b*0,3</v>
      </c>
      <c r="W433" s="3">
        <f t="shared" si="51"/>
        <v>0.09</v>
      </c>
    </row>
    <row r="434" spans="1:23" x14ac:dyDescent="0.3">
      <c r="A434" s="6" t="e">
        <f t="shared" si="56"/>
        <v>#N/A</v>
      </c>
      <c r="B434" s="3" t="e">
        <f t="shared" si="54"/>
        <v>#N/A</v>
      </c>
      <c r="C434" s="3" t="e">
        <f t="shared" si="55"/>
        <v>#N/A</v>
      </c>
      <c r="U434" s="1" t="s">
        <v>631</v>
      </c>
      <c r="V434" t="str">
        <f t="shared" si="50"/>
        <v>F3c*0,3</v>
      </c>
      <c r="W434" s="3">
        <f t="shared" si="51"/>
        <v>0.09</v>
      </c>
    </row>
    <row r="435" spans="1:23" x14ac:dyDescent="0.3">
      <c r="A435" s="6" t="e">
        <f t="shared" si="56"/>
        <v>#N/A</v>
      </c>
      <c r="B435" s="3" t="e">
        <f t="shared" si="54"/>
        <v>#N/A</v>
      </c>
      <c r="C435" s="3" t="e">
        <f t="shared" si="55"/>
        <v>#N/A</v>
      </c>
      <c r="U435" s="1" t="s">
        <v>631</v>
      </c>
      <c r="V435" t="str">
        <f t="shared" si="50"/>
        <v>F4a*0,3</v>
      </c>
      <c r="W435" s="3">
        <f t="shared" si="51"/>
        <v>0.12</v>
      </c>
    </row>
    <row r="436" spans="1:23" x14ac:dyDescent="0.3">
      <c r="A436" s="6" t="e">
        <f t="shared" si="56"/>
        <v>#N/A</v>
      </c>
      <c r="B436" s="3" t="e">
        <f t="shared" si="54"/>
        <v>#N/A</v>
      </c>
      <c r="C436" s="3" t="e">
        <f t="shared" si="55"/>
        <v>#N/A</v>
      </c>
      <c r="U436" s="1" t="s">
        <v>631</v>
      </c>
      <c r="V436" t="str">
        <f t="shared" si="50"/>
        <v>F4b*0,3</v>
      </c>
      <c r="W436" s="3">
        <f t="shared" si="51"/>
        <v>0.12</v>
      </c>
    </row>
    <row r="437" spans="1:23" x14ac:dyDescent="0.3">
      <c r="A437" s="6" t="e">
        <f t="shared" si="56"/>
        <v>#N/A</v>
      </c>
      <c r="B437" s="3" t="e">
        <f t="shared" si="54"/>
        <v>#N/A</v>
      </c>
      <c r="C437" s="3" t="e">
        <f t="shared" si="55"/>
        <v>#N/A</v>
      </c>
      <c r="U437" s="1" t="s">
        <v>631</v>
      </c>
      <c r="V437" t="str">
        <f t="shared" si="50"/>
        <v>F4c*0,3</v>
      </c>
      <c r="W437" s="3">
        <f t="shared" si="51"/>
        <v>0.12</v>
      </c>
    </row>
    <row r="438" spans="1:23" x14ac:dyDescent="0.3">
      <c r="A438" s="6" t="e">
        <f t="shared" si="56"/>
        <v>#N/A</v>
      </c>
      <c r="B438" s="3" t="e">
        <f t="shared" si="54"/>
        <v>#N/A</v>
      </c>
      <c r="C438" s="3" t="e">
        <f t="shared" si="55"/>
        <v>#N/A</v>
      </c>
      <c r="U438" s="1" t="s">
        <v>631</v>
      </c>
      <c r="V438" t="str">
        <f t="shared" si="50"/>
        <v>F4d*0,3</v>
      </c>
      <c r="W438" s="3">
        <f t="shared" si="51"/>
        <v>0.12</v>
      </c>
    </row>
    <row r="439" spans="1:23" x14ac:dyDescent="0.3">
      <c r="A439" s="6" t="e">
        <f t="shared" si="56"/>
        <v>#N/A</v>
      </c>
      <c r="B439" s="3" t="e">
        <f t="shared" si="54"/>
        <v>#N/A</v>
      </c>
      <c r="C439" s="3" t="e">
        <f t="shared" si="55"/>
        <v>#N/A</v>
      </c>
      <c r="U439" s="1" t="s">
        <v>631</v>
      </c>
      <c r="V439" t="str">
        <f t="shared" si="50"/>
        <v>F4e*0,3</v>
      </c>
      <c r="W439" s="3">
        <f t="shared" si="51"/>
        <v>0.12</v>
      </c>
    </row>
    <row r="440" spans="1:23" x14ac:dyDescent="0.3">
      <c r="A440" s="6" t="e">
        <f t="shared" si="56"/>
        <v>#N/A</v>
      </c>
      <c r="B440" s="3" t="e">
        <f t="shared" si="54"/>
        <v>#N/A</v>
      </c>
      <c r="C440" s="3" t="e">
        <f t="shared" si="55"/>
        <v>#N/A</v>
      </c>
      <c r="U440" s="1" t="s">
        <v>631</v>
      </c>
      <c r="V440" t="str">
        <f t="shared" si="50"/>
        <v>F4f*0,3</v>
      </c>
      <c r="W440" s="3">
        <f t="shared" si="51"/>
        <v>0.12</v>
      </c>
    </row>
    <row r="441" spans="1:23" x14ac:dyDescent="0.3">
      <c r="A441" s="6" t="e">
        <f t="shared" si="56"/>
        <v>#N/A</v>
      </c>
      <c r="B441" s="3" t="e">
        <f t="shared" si="54"/>
        <v>#N/A</v>
      </c>
      <c r="C441" s="3" t="e">
        <f t="shared" si="55"/>
        <v>#N/A</v>
      </c>
      <c r="U441" s="1" t="s">
        <v>631</v>
      </c>
      <c r="V441" t="str">
        <f t="shared" si="50"/>
        <v>F5a*0,3</v>
      </c>
      <c r="W441" s="3">
        <f t="shared" si="51"/>
        <v>0.15</v>
      </c>
    </row>
    <row r="442" spans="1:23" x14ac:dyDescent="0.3">
      <c r="A442" s="6" t="e">
        <f t="shared" si="56"/>
        <v>#N/A</v>
      </c>
      <c r="B442" s="3" t="e">
        <f t="shared" si="54"/>
        <v>#N/A</v>
      </c>
      <c r="C442" s="3" t="e">
        <f t="shared" si="55"/>
        <v>#N/A</v>
      </c>
      <c r="U442" s="1" t="s">
        <v>631</v>
      </c>
      <c r="V442" t="str">
        <f t="shared" si="50"/>
        <v>F5b*0,3</v>
      </c>
      <c r="W442" s="3">
        <f t="shared" si="51"/>
        <v>0.15</v>
      </c>
    </row>
    <row r="443" spans="1:23" x14ac:dyDescent="0.3">
      <c r="A443" s="6" t="e">
        <f t="shared" si="56"/>
        <v>#N/A</v>
      </c>
      <c r="B443" s="3" t="e">
        <f t="shared" si="54"/>
        <v>#N/A</v>
      </c>
      <c r="C443" s="3" t="e">
        <f t="shared" si="55"/>
        <v>#N/A</v>
      </c>
      <c r="U443" s="1" t="s">
        <v>631</v>
      </c>
      <c r="V443" t="str">
        <f t="shared" si="50"/>
        <v>F5c*0,3</v>
      </c>
      <c r="W443" s="3">
        <f t="shared" si="51"/>
        <v>0.15</v>
      </c>
    </row>
    <row r="444" spans="1:23" x14ac:dyDescent="0.3">
      <c r="A444" s="6" t="e">
        <f t="shared" si="56"/>
        <v>#N/A</v>
      </c>
      <c r="B444" s="3" t="e">
        <f t="shared" si="54"/>
        <v>#N/A</v>
      </c>
      <c r="C444" s="3" t="e">
        <f t="shared" si="55"/>
        <v>#N/A</v>
      </c>
      <c r="U444" s="1" t="s">
        <v>631</v>
      </c>
      <c r="V444" t="str">
        <f t="shared" si="50"/>
        <v>F6a*0,3</v>
      </c>
      <c r="W444" s="3">
        <f t="shared" si="51"/>
        <v>0.19500000000000001</v>
      </c>
    </row>
    <row r="445" spans="1:23" x14ac:dyDescent="0.3">
      <c r="A445" s="6" t="e">
        <f t="shared" si="56"/>
        <v>#N/A</v>
      </c>
      <c r="B445" s="3" t="e">
        <f t="shared" si="54"/>
        <v>#N/A</v>
      </c>
      <c r="C445" s="3" t="e">
        <f t="shared" si="55"/>
        <v>#N/A</v>
      </c>
      <c r="U445" s="1" t="s">
        <v>631</v>
      </c>
      <c r="V445" t="str">
        <f t="shared" si="50"/>
        <v>F6b*0,3</v>
      </c>
      <c r="W445" s="3">
        <f t="shared" si="51"/>
        <v>0.19500000000000001</v>
      </c>
    </row>
    <row r="446" spans="1:23" x14ac:dyDescent="0.3">
      <c r="A446" s="6" t="e">
        <f t="shared" si="56"/>
        <v>#N/A</v>
      </c>
      <c r="B446" s="3" t="e">
        <f t="shared" si="54"/>
        <v>#N/A</v>
      </c>
      <c r="C446" s="3" t="e">
        <f t="shared" si="55"/>
        <v>#N/A</v>
      </c>
      <c r="U446" s="1" t="s">
        <v>631</v>
      </c>
      <c r="V446" t="str">
        <f t="shared" si="50"/>
        <v>F6c*0,3</v>
      </c>
      <c r="W446" s="3">
        <f t="shared" si="51"/>
        <v>0.19500000000000001</v>
      </c>
    </row>
    <row r="447" spans="1:23" x14ac:dyDescent="0.3">
      <c r="A447" s="6" t="e">
        <f t="shared" si="56"/>
        <v>#N/A</v>
      </c>
      <c r="B447" s="3" t="e">
        <f t="shared" si="54"/>
        <v>#N/A</v>
      </c>
      <c r="C447" s="3" t="e">
        <f t="shared" si="55"/>
        <v>#N/A</v>
      </c>
      <c r="U447" s="1" t="s">
        <v>631</v>
      </c>
      <c r="V447" t="str">
        <f t="shared" si="50"/>
        <v>F6d*0,3</v>
      </c>
      <c r="W447" s="3">
        <f t="shared" si="51"/>
        <v>0.19500000000000001</v>
      </c>
    </row>
    <row r="448" spans="1:23" x14ac:dyDescent="0.3">
      <c r="A448" s="6" t="e">
        <f t="shared" si="56"/>
        <v>#N/A</v>
      </c>
      <c r="B448" s="3" t="e">
        <f t="shared" si="54"/>
        <v>#N/A</v>
      </c>
      <c r="C448" s="3" t="e">
        <f t="shared" si="55"/>
        <v>#N/A</v>
      </c>
      <c r="U448" s="1" t="s">
        <v>631</v>
      </c>
      <c r="V448" t="str">
        <f t="shared" ref="V448:V476" si="57">CONCATENATE(V132,"*0,3")</f>
        <v>F7*0,3</v>
      </c>
      <c r="W448" s="3">
        <f t="shared" ref="W448:W476" si="58">W132*0.3</f>
        <v>0.22499999999999998</v>
      </c>
    </row>
    <row r="449" spans="1:23" x14ac:dyDescent="0.3">
      <c r="A449" s="6" t="e">
        <f t="shared" si="56"/>
        <v>#N/A</v>
      </c>
      <c r="B449" s="3" t="e">
        <f t="shared" si="54"/>
        <v>#N/A</v>
      </c>
      <c r="C449" s="3" t="e">
        <f t="shared" si="55"/>
        <v>#N/A</v>
      </c>
      <c r="U449" s="1" t="s">
        <v>631</v>
      </c>
      <c r="V449" t="str">
        <f t="shared" si="57"/>
        <v>F8a*0,3</v>
      </c>
      <c r="W449" s="3">
        <f t="shared" si="58"/>
        <v>0.27</v>
      </c>
    </row>
    <row r="450" spans="1:23" x14ac:dyDescent="0.3">
      <c r="A450" s="6" t="e">
        <f t="shared" si="56"/>
        <v>#N/A</v>
      </c>
      <c r="B450" s="3" t="e">
        <f t="shared" si="54"/>
        <v>#N/A</v>
      </c>
      <c r="C450" s="3" t="e">
        <f t="shared" si="55"/>
        <v>#N/A</v>
      </c>
      <c r="U450" s="1" t="s">
        <v>631</v>
      </c>
      <c r="V450" t="str">
        <f t="shared" si="57"/>
        <v>F8b*0,3</v>
      </c>
      <c r="W450" s="3">
        <f t="shared" si="58"/>
        <v>0.27</v>
      </c>
    </row>
    <row r="451" spans="1:23" x14ac:dyDescent="0.3">
      <c r="A451" s="6" t="e">
        <f t="shared" si="56"/>
        <v>#N/A</v>
      </c>
      <c r="B451" s="3" t="e">
        <f t="shared" si="54"/>
        <v>#N/A</v>
      </c>
      <c r="C451" s="3" t="e">
        <f t="shared" si="55"/>
        <v>#N/A</v>
      </c>
      <c r="U451" s="1" t="s">
        <v>631</v>
      </c>
      <c r="V451" t="str">
        <f t="shared" si="57"/>
        <v>F9*0,3</v>
      </c>
      <c r="W451" s="3">
        <f t="shared" si="58"/>
        <v>0.3</v>
      </c>
    </row>
    <row r="452" spans="1:23" x14ac:dyDescent="0.3">
      <c r="A452" s="6" t="e">
        <f t="shared" si="56"/>
        <v>#N/A</v>
      </c>
      <c r="B452" s="3" t="e">
        <f t="shared" si="54"/>
        <v>#N/A</v>
      </c>
      <c r="C452" s="3" t="e">
        <f t="shared" si="55"/>
        <v>#N/A</v>
      </c>
      <c r="U452" s="1" t="s">
        <v>631</v>
      </c>
      <c r="V452" t="str">
        <f t="shared" si="57"/>
        <v>F10*0,3</v>
      </c>
      <c r="W452" s="3">
        <f t="shared" si="58"/>
        <v>0.39</v>
      </c>
    </row>
    <row r="453" spans="1:23" x14ac:dyDescent="0.3">
      <c r="A453" s="6" t="e">
        <f t="shared" si="56"/>
        <v>#N/A</v>
      </c>
      <c r="B453" s="3" t="e">
        <f t="shared" si="54"/>
        <v>#N/A</v>
      </c>
      <c r="C453" s="3" t="e">
        <f t="shared" si="55"/>
        <v>#N/A</v>
      </c>
      <c r="U453" s="1" t="s">
        <v>632</v>
      </c>
      <c r="V453" t="str">
        <f t="shared" si="57"/>
        <v>CB*0,3</v>
      </c>
      <c r="W453" s="3">
        <f t="shared" si="58"/>
        <v>0.03</v>
      </c>
    </row>
    <row r="454" spans="1:23" x14ac:dyDescent="0.3">
      <c r="A454" s="6" t="e">
        <f t="shared" si="56"/>
        <v>#N/A</v>
      </c>
      <c r="B454" s="3" t="e">
        <f t="shared" si="54"/>
        <v>#N/A</v>
      </c>
      <c r="C454" s="3" t="e">
        <f t="shared" si="55"/>
        <v>#N/A</v>
      </c>
      <c r="U454" s="1" t="s">
        <v>632</v>
      </c>
      <c r="V454" t="str">
        <f t="shared" si="57"/>
        <v>CB+*0,3</v>
      </c>
      <c r="W454" s="3">
        <f t="shared" si="58"/>
        <v>0.06</v>
      </c>
    </row>
    <row r="455" spans="1:23" x14ac:dyDescent="0.3">
      <c r="A455" s="6" t="e">
        <f t="shared" si="56"/>
        <v>#N/A</v>
      </c>
      <c r="B455" s="3" t="e">
        <f t="shared" si="54"/>
        <v>#N/A</v>
      </c>
      <c r="C455" s="3" t="e">
        <f t="shared" si="55"/>
        <v>#N/A</v>
      </c>
      <c r="U455" s="1" t="s">
        <v>632</v>
      </c>
      <c r="V455" t="str">
        <f t="shared" si="57"/>
        <v>C1a*0,3</v>
      </c>
      <c r="W455" s="3">
        <f t="shared" si="58"/>
        <v>0.06</v>
      </c>
    </row>
    <row r="456" spans="1:23" x14ac:dyDescent="0.3">
      <c r="A456" s="6" t="e">
        <f t="shared" si="56"/>
        <v>#N/A</v>
      </c>
      <c r="B456" s="3" t="e">
        <f t="shared" si="54"/>
        <v>#N/A</v>
      </c>
      <c r="C456" s="3" t="e">
        <f t="shared" si="55"/>
        <v>#N/A</v>
      </c>
      <c r="U456" s="1" t="s">
        <v>632</v>
      </c>
      <c r="V456" t="str">
        <f t="shared" si="57"/>
        <v>C1a+*0,3</v>
      </c>
      <c r="W456" s="3">
        <f t="shared" si="58"/>
        <v>0.09</v>
      </c>
    </row>
    <row r="457" spans="1:23" x14ac:dyDescent="0.3">
      <c r="A457" s="6" t="e">
        <f t="shared" si="56"/>
        <v>#N/A</v>
      </c>
      <c r="B457" s="3" t="e">
        <f t="shared" ref="B457:B474" si="59">IF($B$1="Solo",IF(M456="","",M456),IF($B$1="Duet",IF(P456="","",P456),IF($B$1="Mixed",IF(S456="","",S456),IF(V456="","",V456))))</f>
        <v>#N/A</v>
      </c>
      <c r="C457" s="3" t="e">
        <f t="shared" ref="C457:C474" si="60">IF($B$1="Solo",IF(N456="","",N456),IF($B$1="Duet",IF(Q456="","",Q456),IF($B$1="Mixed",IF(T456="","",T456),IF(W456="","",W456))))</f>
        <v>#N/A</v>
      </c>
      <c r="U457" s="1" t="s">
        <v>632</v>
      </c>
      <c r="V457" t="str">
        <f t="shared" si="57"/>
        <v>C1b*0,3</v>
      </c>
      <c r="W457" s="3">
        <f t="shared" si="58"/>
        <v>0.06</v>
      </c>
    </row>
    <row r="458" spans="1:23" x14ac:dyDescent="0.3">
      <c r="A458" s="6" t="e">
        <f t="shared" si="56"/>
        <v>#N/A</v>
      </c>
      <c r="B458" s="3" t="e">
        <f t="shared" si="59"/>
        <v>#N/A</v>
      </c>
      <c r="C458" s="3" t="e">
        <f t="shared" si="60"/>
        <v>#N/A</v>
      </c>
      <c r="U458" s="1" t="s">
        <v>632</v>
      </c>
      <c r="V458" t="str">
        <f t="shared" si="57"/>
        <v>C1b+*0,3</v>
      </c>
      <c r="W458" s="3">
        <f t="shared" si="58"/>
        <v>0.09</v>
      </c>
    </row>
    <row r="459" spans="1:23" x14ac:dyDescent="0.3">
      <c r="A459" s="6" t="e">
        <f t="shared" si="56"/>
        <v>#N/A</v>
      </c>
      <c r="B459" s="3" t="e">
        <f t="shared" si="59"/>
        <v>#N/A</v>
      </c>
      <c r="C459" s="3" t="e">
        <f t="shared" si="60"/>
        <v>#N/A</v>
      </c>
      <c r="U459" s="1" t="s">
        <v>632</v>
      </c>
      <c r="V459" t="str">
        <f t="shared" si="57"/>
        <v>C2a*0,3</v>
      </c>
      <c r="W459" s="3">
        <f t="shared" si="58"/>
        <v>0.09</v>
      </c>
    </row>
    <row r="460" spans="1:23" x14ac:dyDescent="0.3">
      <c r="A460" s="6" t="e">
        <f t="shared" si="56"/>
        <v>#N/A</v>
      </c>
      <c r="B460" s="3" t="e">
        <f t="shared" si="59"/>
        <v>#N/A</v>
      </c>
      <c r="C460" s="3" t="e">
        <f t="shared" si="60"/>
        <v>#N/A</v>
      </c>
      <c r="U460" s="1" t="s">
        <v>632</v>
      </c>
      <c r="V460" t="str">
        <f t="shared" si="57"/>
        <v>C2a+*0,3</v>
      </c>
      <c r="W460" s="3">
        <f t="shared" si="58"/>
        <v>0.12</v>
      </c>
    </row>
    <row r="461" spans="1:23" x14ac:dyDescent="0.3">
      <c r="A461" s="6" t="e">
        <f t="shared" si="56"/>
        <v>#N/A</v>
      </c>
      <c r="B461" s="3" t="e">
        <f t="shared" si="59"/>
        <v>#N/A</v>
      </c>
      <c r="C461" s="3" t="e">
        <f t="shared" si="60"/>
        <v>#N/A</v>
      </c>
      <c r="U461" s="1" t="s">
        <v>632</v>
      </c>
      <c r="V461" t="str">
        <f t="shared" si="57"/>
        <v>C2b*0,3</v>
      </c>
      <c r="W461" s="3">
        <f t="shared" si="58"/>
        <v>0.09</v>
      </c>
    </row>
    <row r="462" spans="1:23" x14ac:dyDescent="0.3">
      <c r="A462" s="6" t="e">
        <f t="shared" si="56"/>
        <v>#N/A</v>
      </c>
      <c r="B462" s="3" t="e">
        <f t="shared" si="59"/>
        <v>#N/A</v>
      </c>
      <c r="C462" s="3" t="e">
        <f t="shared" si="60"/>
        <v>#N/A</v>
      </c>
      <c r="U462" s="1" t="s">
        <v>632</v>
      </c>
      <c r="V462" t="str">
        <f t="shared" si="57"/>
        <v>C2b+*0,3</v>
      </c>
      <c r="W462" s="3">
        <f t="shared" si="58"/>
        <v>0.12</v>
      </c>
    </row>
    <row r="463" spans="1:23" x14ac:dyDescent="0.3">
      <c r="A463" s="6" t="e">
        <f t="shared" si="56"/>
        <v>#N/A</v>
      </c>
      <c r="B463" s="3" t="e">
        <f t="shared" si="59"/>
        <v>#N/A</v>
      </c>
      <c r="C463" s="3" t="e">
        <f t="shared" si="60"/>
        <v>#N/A</v>
      </c>
      <c r="U463" s="1" t="s">
        <v>632</v>
      </c>
      <c r="V463" t="str">
        <f t="shared" si="57"/>
        <v>C2c*0,3</v>
      </c>
      <c r="W463" s="3">
        <f t="shared" si="58"/>
        <v>0.09</v>
      </c>
    </row>
    <row r="464" spans="1:23" x14ac:dyDescent="0.3">
      <c r="A464" s="6" t="e">
        <f t="shared" si="56"/>
        <v>#N/A</v>
      </c>
      <c r="B464" s="3" t="e">
        <f t="shared" si="59"/>
        <v>#N/A</v>
      </c>
      <c r="C464" s="3" t="e">
        <f t="shared" si="60"/>
        <v>#N/A</v>
      </c>
      <c r="U464" s="1" t="s">
        <v>632</v>
      </c>
      <c r="V464" t="str">
        <f t="shared" si="57"/>
        <v>C2c+*0,3</v>
      </c>
      <c r="W464" s="3">
        <f t="shared" si="58"/>
        <v>0.12</v>
      </c>
    </row>
    <row r="465" spans="1:23" x14ac:dyDescent="0.3">
      <c r="A465" s="6" t="e">
        <f t="shared" si="56"/>
        <v>#N/A</v>
      </c>
      <c r="B465" s="3" t="e">
        <f t="shared" si="59"/>
        <v>#N/A</v>
      </c>
      <c r="C465" s="3" t="e">
        <f t="shared" si="60"/>
        <v>#N/A</v>
      </c>
      <c r="U465" s="1" t="s">
        <v>632</v>
      </c>
      <c r="V465" t="str">
        <f t="shared" si="57"/>
        <v>C3*0,3</v>
      </c>
      <c r="W465" s="3">
        <f t="shared" si="58"/>
        <v>0.12</v>
      </c>
    </row>
    <row r="466" spans="1:23" x14ac:dyDescent="0.3">
      <c r="A466" s="6" t="e">
        <f t="shared" si="56"/>
        <v>#N/A</v>
      </c>
      <c r="B466" s="3" t="e">
        <f t="shared" si="59"/>
        <v>#N/A</v>
      </c>
      <c r="C466" s="3" t="e">
        <f t="shared" si="60"/>
        <v>#N/A</v>
      </c>
      <c r="U466" s="1" t="s">
        <v>632</v>
      </c>
      <c r="V466" t="str">
        <f t="shared" si="57"/>
        <v>C3+*0,3</v>
      </c>
      <c r="W466" s="3">
        <f t="shared" si="58"/>
        <v>0.15</v>
      </c>
    </row>
    <row r="467" spans="1:23" x14ac:dyDescent="0.3">
      <c r="A467" s="6" t="e">
        <f t="shared" si="56"/>
        <v>#N/A</v>
      </c>
      <c r="B467" s="3" t="e">
        <f t="shared" si="59"/>
        <v>#N/A</v>
      </c>
      <c r="C467" s="3" t="e">
        <f t="shared" si="60"/>
        <v>#N/A</v>
      </c>
      <c r="U467" s="1" t="s">
        <v>632</v>
      </c>
      <c r="V467" t="str">
        <f t="shared" si="57"/>
        <v>C4*0,3</v>
      </c>
      <c r="W467" s="3">
        <f t="shared" si="58"/>
        <v>0.15</v>
      </c>
    </row>
    <row r="468" spans="1:23" x14ac:dyDescent="0.3">
      <c r="A468" s="6" t="e">
        <f t="shared" si="56"/>
        <v>#N/A</v>
      </c>
      <c r="B468" s="3" t="e">
        <f t="shared" si="59"/>
        <v>#N/A</v>
      </c>
      <c r="C468" s="3" t="e">
        <f t="shared" si="60"/>
        <v>#N/A</v>
      </c>
      <c r="U468" s="1" t="s">
        <v>632</v>
      </c>
      <c r="V468" t="str">
        <f t="shared" si="57"/>
        <v>C4+*0,3</v>
      </c>
      <c r="W468" s="3">
        <f t="shared" si="58"/>
        <v>0.18</v>
      </c>
    </row>
    <row r="469" spans="1:23" x14ac:dyDescent="0.3">
      <c r="A469" s="6" t="e">
        <f t="shared" si="56"/>
        <v>#N/A</v>
      </c>
      <c r="B469" s="3" t="e">
        <f t="shared" si="59"/>
        <v>#N/A</v>
      </c>
      <c r="C469" s="3" t="e">
        <f t="shared" si="60"/>
        <v>#N/A</v>
      </c>
      <c r="U469" s="1" t="s">
        <v>632</v>
      </c>
      <c r="V469" t="str">
        <f t="shared" si="57"/>
        <v>C5*0,3</v>
      </c>
      <c r="W469" s="3">
        <f t="shared" si="58"/>
        <v>0.3</v>
      </c>
    </row>
    <row r="470" spans="1:23" x14ac:dyDescent="0.3">
      <c r="A470" s="6" t="e">
        <f t="shared" si="56"/>
        <v>#N/A</v>
      </c>
      <c r="B470" s="3" t="e">
        <f t="shared" si="59"/>
        <v>#N/A</v>
      </c>
      <c r="C470" s="3" t="e">
        <f t="shared" si="60"/>
        <v>#N/A</v>
      </c>
      <c r="U470" s="1" t="s">
        <v>632</v>
      </c>
      <c r="V470" t="str">
        <f t="shared" si="57"/>
        <v>C5+*0,3</v>
      </c>
      <c r="W470" s="3">
        <f t="shared" si="58"/>
        <v>0.33</v>
      </c>
    </row>
    <row r="471" spans="1:23" x14ac:dyDescent="0.3">
      <c r="A471" s="6" t="e">
        <f t="shared" si="56"/>
        <v>#N/A</v>
      </c>
      <c r="B471" s="3" t="e">
        <f t="shared" si="59"/>
        <v>#N/A</v>
      </c>
      <c r="C471" s="3" t="e">
        <f t="shared" si="60"/>
        <v>#N/A</v>
      </c>
      <c r="U471" s="1" t="s">
        <v>632</v>
      </c>
      <c r="V471" t="str">
        <f t="shared" si="57"/>
        <v>C6a*0,3</v>
      </c>
      <c r="W471" s="3">
        <f t="shared" si="58"/>
        <v>0.375</v>
      </c>
    </row>
    <row r="472" spans="1:23" x14ac:dyDescent="0.3">
      <c r="A472" s="6" t="e">
        <f t="shared" si="56"/>
        <v>#N/A</v>
      </c>
      <c r="B472" s="3" t="e">
        <f t="shared" si="59"/>
        <v>#N/A</v>
      </c>
      <c r="C472" s="3" t="e">
        <f t="shared" si="60"/>
        <v>#N/A</v>
      </c>
      <c r="U472" s="1" t="s">
        <v>632</v>
      </c>
      <c r="V472" t="str">
        <f t="shared" si="57"/>
        <v>C6a+*0,3</v>
      </c>
      <c r="W472" s="3">
        <f t="shared" si="58"/>
        <v>0.40500000000000003</v>
      </c>
    </row>
    <row r="473" spans="1:23" x14ac:dyDescent="0.3">
      <c r="A473" s="6" t="e">
        <f t="shared" si="56"/>
        <v>#N/A</v>
      </c>
      <c r="B473" s="3" t="e">
        <f t="shared" si="59"/>
        <v>#N/A</v>
      </c>
      <c r="C473" s="3" t="e">
        <f t="shared" si="60"/>
        <v>#N/A</v>
      </c>
      <c r="U473" s="1" t="s">
        <v>632</v>
      </c>
      <c r="V473" t="str">
        <f t="shared" si="57"/>
        <v>C6b*0,3</v>
      </c>
      <c r="W473" s="3">
        <f t="shared" si="58"/>
        <v>0.375</v>
      </c>
    </row>
    <row r="474" spans="1:23" x14ac:dyDescent="0.3">
      <c r="A474" s="6" t="e">
        <f t="shared" si="56"/>
        <v>#N/A</v>
      </c>
      <c r="B474" s="3" t="e">
        <f t="shared" si="59"/>
        <v>#N/A</v>
      </c>
      <c r="C474" s="3" t="e">
        <f t="shared" si="60"/>
        <v>#N/A</v>
      </c>
      <c r="U474" s="1" t="s">
        <v>632</v>
      </c>
      <c r="V474" t="str">
        <f t="shared" si="57"/>
        <v>C6b+*0,3</v>
      </c>
      <c r="W474" s="3">
        <f t="shared" si="58"/>
        <v>0.40500000000000003</v>
      </c>
    </row>
    <row r="475" spans="1:23" x14ac:dyDescent="0.3">
      <c r="A475" s="6" t="e">
        <f t="shared" si="56"/>
        <v>#N/A</v>
      </c>
      <c r="B475" s="3" t="e">
        <f t="shared" ref="B475:B500" si="61">IF($B$1="Solo",IF(M474="","",M474),IF($B$1="Duet",IF(P474="","",P474),IF($B$1="Mixed",IF(S474="","",S474),IF(V474="","",V474))))</f>
        <v>#N/A</v>
      </c>
      <c r="C475" s="3" t="e">
        <f t="shared" ref="C475:C500" si="62">IF($B$1="Solo",IF(N474="","",N474),IF($B$1="Duet",IF(Q474="","",Q474),IF($B$1="Mixed",IF(T474="","",T474),IF(W474="","",W474))))</f>
        <v>#N/A</v>
      </c>
      <c r="U475" s="1" t="s">
        <v>632</v>
      </c>
      <c r="V475" t="str">
        <f t="shared" si="57"/>
        <v>C7*0,3</v>
      </c>
      <c r="W475" s="3">
        <f t="shared" si="58"/>
        <v>0.44999999999999996</v>
      </c>
    </row>
    <row r="476" spans="1:23" x14ac:dyDescent="0.3">
      <c r="A476" s="6" t="e">
        <f t="shared" si="56"/>
        <v>#N/A</v>
      </c>
      <c r="B476" s="3" t="e">
        <f t="shared" si="61"/>
        <v>#N/A</v>
      </c>
      <c r="C476" s="3" t="e">
        <f t="shared" si="62"/>
        <v>#N/A</v>
      </c>
      <c r="U476" s="1" t="s">
        <v>632</v>
      </c>
      <c r="V476" t="str">
        <f t="shared" si="57"/>
        <v>C7+*0,3</v>
      </c>
      <c r="W476" s="3">
        <f t="shared" si="58"/>
        <v>0.48</v>
      </c>
    </row>
    <row r="477" spans="1:23" x14ac:dyDescent="0.3">
      <c r="A477" s="6" t="e">
        <f t="shared" si="56"/>
        <v>#N/A</v>
      </c>
      <c r="B477" s="3" t="e">
        <f t="shared" si="61"/>
        <v>#N/A</v>
      </c>
      <c r="C477" s="3" t="e">
        <f t="shared" si="62"/>
        <v>#N/A</v>
      </c>
    </row>
    <row r="478" spans="1:23" x14ac:dyDescent="0.3">
      <c r="A478" s="6" t="e">
        <f t="shared" si="56"/>
        <v>#N/A</v>
      </c>
      <c r="B478" s="3" t="e">
        <f t="shared" si="61"/>
        <v>#N/A</v>
      </c>
      <c r="C478" s="3" t="e">
        <f t="shared" si="62"/>
        <v>#N/A</v>
      </c>
    </row>
    <row r="479" spans="1:23" x14ac:dyDescent="0.3">
      <c r="A479" s="6" t="e">
        <f t="shared" si="56"/>
        <v>#N/A</v>
      </c>
      <c r="B479" s="3" t="e">
        <f t="shared" si="61"/>
        <v>#N/A</v>
      </c>
      <c r="C479" s="3" t="e">
        <f t="shared" si="62"/>
        <v>#N/A</v>
      </c>
    </row>
    <row r="480" spans="1:23" x14ac:dyDescent="0.3">
      <c r="A480" s="6" t="e">
        <f t="shared" si="56"/>
        <v>#N/A</v>
      </c>
      <c r="B480" s="3" t="e">
        <f t="shared" si="61"/>
        <v>#N/A</v>
      </c>
      <c r="C480" s="3" t="e">
        <f t="shared" si="62"/>
        <v>#N/A</v>
      </c>
    </row>
    <row r="481" spans="1:3" x14ac:dyDescent="0.3">
      <c r="A481" s="6" t="e">
        <f t="shared" si="56"/>
        <v>#N/A</v>
      </c>
      <c r="B481" s="3" t="e">
        <f t="shared" si="61"/>
        <v>#N/A</v>
      </c>
      <c r="C481" s="3" t="e">
        <f t="shared" si="62"/>
        <v>#N/A</v>
      </c>
    </row>
    <row r="482" spans="1:3" x14ac:dyDescent="0.3">
      <c r="B482" s="3" t="e">
        <f t="shared" si="61"/>
        <v>#N/A</v>
      </c>
      <c r="C482" s="3" t="e">
        <f t="shared" si="62"/>
        <v>#N/A</v>
      </c>
    </row>
    <row r="483" spans="1:3" x14ac:dyDescent="0.3">
      <c r="B483" s="3" t="e">
        <f t="shared" si="61"/>
        <v>#N/A</v>
      </c>
      <c r="C483" s="3" t="e">
        <f t="shared" si="62"/>
        <v>#N/A</v>
      </c>
    </row>
    <row r="484" spans="1:3" x14ac:dyDescent="0.3">
      <c r="B484" s="3" t="e">
        <f t="shared" si="61"/>
        <v>#N/A</v>
      </c>
      <c r="C484" s="3" t="e">
        <f t="shared" si="62"/>
        <v>#N/A</v>
      </c>
    </row>
    <row r="485" spans="1:3" x14ac:dyDescent="0.3">
      <c r="B485" s="3" t="e">
        <f t="shared" si="61"/>
        <v>#N/A</v>
      </c>
      <c r="C485" s="3" t="e">
        <f t="shared" si="62"/>
        <v>#N/A</v>
      </c>
    </row>
    <row r="486" spans="1:3" x14ac:dyDescent="0.3">
      <c r="B486" s="3" t="e">
        <f t="shared" si="61"/>
        <v>#N/A</v>
      </c>
      <c r="C486" s="3" t="e">
        <f t="shared" si="62"/>
        <v>#N/A</v>
      </c>
    </row>
    <row r="487" spans="1:3" x14ac:dyDescent="0.3">
      <c r="B487" s="3" t="e">
        <f t="shared" si="61"/>
        <v>#N/A</v>
      </c>
      <c r="C487" s="3" t="e">
        <f t="shared" si="62"/>
        <v>#N/A</v>
      </c>
    </row>
    <row r="488" spans="1:3" x14ac:dyDescent="0.3">
      <c r="B488" s="3" t="e">
        <f t="shared" si="61"/>
        <v>#N/A</v>
      </c>
      <c r="C488" s="3" t="e">
        <f t="shared" si="62"/>
        <v>#N/A</v>
      </c>
    </row>
    <row r="489" spans="1:3" x14ac:dyDescent="0.3">
      <c r="B489" s="3" t="e">
        <f t="shared" si="61"/>
        <v>#N/A</v>
      </c>
      <c r="C489" s="3" t="e">
        <f t="shared" si="62"/>
        <v>#N/A</v>
      </c>
    </row>
    <row r="490" spans="1:3" x14ac:dyDescent="0.3">
      <c r="B490" s="3" t="e">
        <f t="shared" si="61"/>
        <v>#N/A</v>
      </c>
      <c r="C490" s="3" t="e">
        <f t="shared" si="62"/>
        <v>#N/A</v>
      </c>
    </row>
    <row r="491" spans="1:3" x14ac:dyDescent="0.3">
      <c r="B491" s="3" t="e">
        <f t="shared" si="61"/>
        <v>#N/A</v>
      </c>
      <c r="C491" s="3" t="e">
        <f t="shared" si="62"/>
        <v>#N/A</v>
      </c>
    </row>
    <row r="492" spans="1:3" x14ac:dyDescent="0.3">
      <c r="B492" s="3" t="e">
        <f t="shared" si="61"/>
        <v>#N/A</v>
      </c>
      <c r="C492" s="3" t="e">
        <f t="shared" si="62"/>
        <v>#N/A</v>
      </c>
    </row>
    <row r="493" spans="1:3" x14ac:dyDescent="0.3">
      <c r="B493" s="3" t="e">
        <f t="shared" si="61"/>
        <v>#N/A</v>
      </c>
      <c r="C493" s="3" t="e">
        <f t="shared" si="62"/>
        <v>#N/A</v>
      </c>
    </row>
    <row r="494" spans="1:3" x14ac:dyDescent="0.3">
      <c r="B494" s="3" t="e">
        <f t="shared" si="61"/>
        <v>#N/A</v>
      </c>
      <c r="C494" s="3" t="e">
        <f t="shared" si="62"/>
        <v>#N/A</v>
      </c>
    </row>
    <row r="495" spans="1:3" x14ac:dyDescent="0.3">
      <c r="B495" s="3" t="e">
        <f t="shared" si="61"/>
        <v>#N/A</v>
      </c>
      <c r="C495" s="3" t="e">
        <f t="shared" si="62"/>
        <v>#N/A</v>
      </c>
    </row>
    <row r="496" spans="1:3" x14ac:dyDescent="0.3">
      <c r="B496" s="3" t="e">
        <f t="shared" si="61"/>
        <v>#N/A</v>
      </c>
      <c r="C496" s="3" t="e">
        <f t="shared" si="62"/>
        <v>#N/A</v>
      </c>
    </row>
    <row r="497" spans="2:3" x14ac:dyDescent="0.3">
      <c r="B497" s="3" t="e">
        <f t="shared" si="61"/>
        <v>#N/A</v>
      </c>
      <c r="C497" s="3" t="e">
        <f t="shared" si="62"/>
        <v>#N/A</v>
      </c>
    </row>
    <row r="498" spans="2:3" x14ac:dyDescent="0.3">
      <c r="B498" s="3" t="e">
        <f t="shared" si="61"/>
        <v>#N/A</v>
      </c>
      <c r="C498" s="3" t="e">
        <f t="shared" si="62"/>
        <v>#N/A</v>
      </c>
    </row>
    <row r="499" spans="2:3" x14ac:dyDescent="0.3">
      <c r="B499" s="3" t="e">
        <f t="shared" si="61"/>
        <v>#N/A</v>
      </c>
      <c r="C499" s="3" t="e">
        <f t="shared" si="62"/>
        <v>#N/A</v>
      </c>
    </row>
    <row r="500" spans="2:3" x14ac:dyDescent="0.3">
      <c r="B500" s="3" t="e">
        <f t="shared" si="61"/>
        <v>#N/A</v>
      </c>
      <c r="C500" s="3" t="e">
        <f t="shared" si="62"/>
        <v>#N/A</v>
      </c>
    </row>
  </sheetData>
  <mergeCells count="11">
    <mergeCell ref="B1:C1"/>
    <mergeCell ref="D1:E1"/>
    <mergeCell ref="AD1:AE1"/>
    <mergeCell ref="S1:T1"/>
    <mergeCell ref="AB1:AC1"/>
    <mergeCell ref="M1:N1"/>
    <mergeCell ref="P1:Q1"/>
    <mergeCell ref="V1:W1"/>
    <mergeCell ref="X1:Y1"/>
    <mergeCell ref="Z1:AA1"/>
    <mergeCell ref="F1:G1"/>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N13"/>
  <sheetViews>
    <sheetView workbookViewId="0">
      <selection activeCell="I15" sqref="I15"/>
    </sheetView>
  </sheetViews>
  <sheetFormatPr defaultRowHeight="14.4" x14ac:dyDescent="0.3"/>
  <cols>
    <col min="1" max="1" width="9.109375" style="5"/>
    <col min="2" max="2" width="11.6640625" style="3" customWidth="1"/>
    <col min="3" max="3" width="9.109375" style="3"/>
    <col min="4" max="4" width="9.6640625" style="3" bestFit="1" customWidth="1"/>
    <col min="5" max="5" width="10.33203125" style="3" bestFit="1" customWidth="1"/>
    <col min="6" max="6" width="9.109375" style="5"/>
  </cols>
  <sheetData>
    <row r="1" spans="1:14" x14ac:dyDescent="0.25">
      <c r="A1" s="6"/>
      <c r="B1" s="350" t="e">
        <f>INDEX(Data!$V$3:$V$38,MATCH('Coach Card'!$BR$9,Data!$G$3:$G$38,0))</f>
        <v>#N/A</v>
      </c>
      <c r="C1" s="350"/>
      <c r="D1" s="350"/>
      <c r="E1" s="350"/>
      <c r="F1" s="6"/>
      <c r="G1" s="350" t="s">
        <v>75</v>
      </c>
      <c r="H1" s="350"/>
      <c r="I1" s="350" t="s">
        <v>76</v>
      </c>
      <c r="J1" s="350"/>
      <c r="K1" s="350" t="s">
        <v>77</v>
      </c>
      <c r="L1" s="350"/>
      <c r="M1" s="350" t="s">
        <v>78</v>
      </c>
      <c r="N1" s="350"/>
    </row>
    <row r="2" spans="1:14" x14ac:dyDescent="0.25">
      <c r="B2" s="1" t="s">
        <v>72</v>
      </c>
      <c r="C2" s="1" t="s">
        <v>73</v>
      </c>
      <c r="D2" s="1"/>
      <c r="E2" s="1"/>
      <c r="G2" t="s">
        <v>72</v>
      </c>
      <c r="H2" t="s">
        <v>73</v>
      </c>
      <c r="I2" t="s">
        <v>72</v>
      </c>
      <c r="J2" t="s">
        <v>73</v>
      </c>
      <c r="K2" t="s">
        <v>72</v>
      </c>
      <c r="L2" t="s">
        <v>73</v>
      </c>
      <c r="M2" t="s">
        <v>72</v>
      </c>
      <c r="N2" t="s">
        <v>73</v>
      </c>
    </row>
    <row r="3" spans="1:14" x14ac:dyDescent="0.25">
      <c r="G3" s="1" t="s">
        <v>74</v>
      </c>
      <c r="H3" s="4">
        <v>2.7</v>
      </c>
      <c r="I3" s="1" t="s">
        <v>74</v>
      </c>
      <c r="J3" s="4">
        <v>3</v>
      </c>
      <c r="K3" s="1" t="s">
        <v>74</v>
      </c>
      <c r="L3" s="4">
        <v>2.7</v>
      </c>
      <c r="M3" s="1" t="s">
        <v>74</v>
      </c>
      <c r="N3" s="4">
        <v>2.5</v>
      </c>
    </row>
    <row r="4" spans="1:14" x14ac:dyDescent="0.25">
      <c r="B4" s="3" t="e">
        <f>IF($B$1="Solo",IF(G3="","",G3),IF($B$1="Duet",IF(I3="","",I3),IF($B$1="Mixed",IF(K3="","",K3),IF(M3="","",M3))))</f>
        <v>#N/A</v>
      </c>
      <c r="C4" s="3" t="e">
        <f>IF($B$1="Solo",IF(H3="","",H3),IF($B$1="Duet",IF(J3="","",J3),IF($B$1="Mixed",IF(L3="","",L3),IF(N3="","",N3))))</f>
        <v>#N/A</v>
      </c>
      <c r="D4" s="3" t="str">
        <f>IFERROR(IF(B4&lt;&gt;"",COUNTIF('Coach Card'!$FN$19:$FN$68,_xlfn.NUMBERVALUE(LEFT(B4,1))),""),"")</f>
        <v/>
      </c>
      <c r="E4" s="3" t="str">
        <f>IFERROR(IF(D4&gt;1,B4,""),"")</f>
        <v/>
      </c>
      <c r="G4" s="1" t="s">
        <v>79</v>
      </c>
      <c r="H4" s="4">
        <v>2.1</v>
      </c>
      <c r="I4" s="1" t="s">
        <v>79</v>
      </c>
      <c r="J4" s="4">
        <v>2.5</v>
      </c>
      <c r="K4" s="1" t="s">
        <v>79</v>
      </c>
      <c r="L4" s="4">
        <v>2.5</v>
      </c>
      <c r="M4" s="1" t="s">
        <v>79</v>
      </c>
      <c r="N4" s="4">
        <v>2.2999999999999998</v>
      </c>
    </row>
    <row r="5" spans="1:14" x14ac:dyDescent="0.25">
      <c r="B5" s="3" t="e">
        <f t="shared" ref="B5:B13" si="0">IF($B$1="Solo",IF(G4="","",G4),IF($B$1="Duet",IF(I4="","",I4),IF($B$1="Mixed",IF(K4="","",K4),IF(M4="","",M4))))</f>
        <v>#N/A</v>
      </c>
      <c r="C5" s="3" t="e">
        <f t="shared" ref="C5:C13" si="1">IF($B$1="Solo",IF(H4="","",H4),IF($B$1="Duet",IF(J4="","",J4),IF($B$1="Mixed",IF(L4="","",L4),IF(N4="","",N4))))</f>
        <v>#N/A</v>
      </c>
      <c r="D5" s="3" t="str">
        <f>IFERROR(IF(B5&lt;&gt;"",COUNTIF('Coach Card'!$FN$19:$FN$68,_xlfn.NUMBERVALUE(LEFT(B5,1))),""),"")</f>
        <v/>
      </c>
      <c r="E5" s="3" t="str">
        <f t="shared" ref="E5:E13" si="2">IFERROR(IF(D5&gt;1,B5,""),"")</f>
        <v/>
      </c>
      <c r="G5" s="1" t="s">
        <v>80</v>
      </c>
      <c r="H5" s="4">
        <v>3</v>
      </c>
      <c r="I5" s="1" t="s">
        <v>80</v>
      </c>
      <c r="J5" s="4">
        <v>2.8</v>
      </c>
      <c r="K5" s="1" t="s">
        <v>80</v>
      </c>
      <c r="L5" s="4">
        <v>2.4</v>
      </c>
      <c r="M5" s="1" t="s">
        <v>80</v>
      </c>
      <c r="N5" s="4">
        <v>2.6</v>
      </c>
    </row>
    <row r="6" spans="1:14" x14ac:dyDescent="0.25">
      <c r="B6" s="3" t="e">
        <f t="shared" si="0"/>
        <v>#N/A</v>
      </c>
      <c r="C6" s="3" t="e">
        <f t="shared" si="1"/>
        <v>#N/A</v>
      </c>
      <c r="D6" s="3" t="str">
        <f>IFERROR(IF(B6&lt;&gt;"",COUNTIF('Coach Card'!$FN$19:$FN$68,_xlfn.NUMBERVALUE(LEFT(B6,1))),""),"")</f>
        <v/>
      </c>
      <c r="E6" s="3" t="str">
        <f t="shared" si="2"/>
        <v/>
      </c>
      <c r="G6" s="1" t="s">
        <v>81</v>
      </c>
      <c r="H6" s="4">
        <v>2.7</v>
      </c>
      <c r="I6" s="1" t="s">
        <v>81</v>
      </c>
      <c r="J6" s="4">
        <v>2.4</v>
      </c>
      <c r="K6" s="1" t="s">
        <v>81</v>
      </c>
      <c r="L6" s="4">
        <v>2.2000000000000002</v>
      </c>
      <c r="M6" s="1" t="s">
        <v>81</v>
      </c>
      <c r="N6" s="4">
        <v>2.2999999999999998</v>
      </c>
    </row>
    <row r="7" spans="1:14" x14ac:dyDescent="0.25">
      <c r="B7" s="3" t="e">
        <f t="shared" si="0"/>
        <v>#N/A</v>
      </c>
      <c r="C7" s="3" t="e">
        <f t="shared" si="1"/>
        <v>#N/A</v>
      </c>
      <c r="D7" s="3" t="str">
        <f>IFERROR(IF(B7&lt;&gt;"",COUNTIF('Coach Card'!$FN$19:$FN$68,_xlfn.NUMBERVALUE(LEFT(B7,1))),""),"")</f>
        <v/>
      </c>
      <c r="E7" s="3" t="str">
        <f t="shared" si="2"/>
        <v/>
      </c>
      <c r="G7" s="1">
        <v>3</v>
      </c>
      <c r="H7" s="4">
        <v>3.2</v>
      </c>
      <c r="I7" s="1">
        <v>3</v>
      </c>
      <c r="J7" s="4">
        <v>3.1</v>
      </c>
      <c r="K7" s="1">
        <v>3</v>
      </c>
      <c r="L7" s="4">
        <v>3</v>
      </c>
      <c r="M7" s="1" t="s">
        <v>86</v>
      </c>
      <c r="N7" s="4">
        <v>2.6</v>
      </c>
    </row>
    <row r="8" spans="1:14" x14ac:dyDescent="0.25">
      <c r="B8" s="3" t="e">
        <f t="shared" si="0"/>
        <v>#N/A</v>
      </c>
      <c r="C8" s="3" t="e">
        <f t="shared" si="1"/>
        <v>#N/A</v>
      </c>
      <c r="D8" s="3" t="str">
        <f>IFERROR(IF(B8&lt;&gt;"",COUNTIF('Coach Card'!$FN$19:$FN$68,_xlfn.NUMBERVALUE(LEFT(B8,1))),""),"")</f>
        <v/>
      </c>
      <c r="E8" s="3" t="str">
        <f t="shared" si="2"/>
        <v/>
      </c>
      <c r="G8" s="1" t="s">
        <v>82</v>
      </c>
      <c r="H8" s="4">
        <v>2.9</v>
      </c>
      <c r="I8" s="1" t="s">
        <v>82</v>
      </c>
      <c r="J8" s="4">
        <v>3.2</v>
      </c>
      <c r="K8" s="1"/>
      <c r="L8" s="4"/>
      <c r="M8" s="1" t="s">
        <v>87</v>
      </c>
      <c r="N8" s="4">
        <v>2.2999999999999998</v>
      </c>
    </row>
    <row r="9" spans="1:14" x14ac:dyDescent="0.25">
      <c r="B9" s="3" t="e">
        <f t="shared" si="0"/>
        <v>#N/A</v>
      </c>
      <c r="C9" s="3" t="e">
        <f t="shared" si="1"/>
        <v>#N/A</v>
      </c>
      <c r="D9" s="3" t="str">
        <f>IFERROR(IF(B9&lt;&gt;"",COUNTIF('Coach Card'!$FN$19:$FN$68,_xlfn.NUMBERVALUE(LEFT(B9,1))),""),"")</f>
        <v/>
      </c>
      <c r="E9" s="3" t="str">
        <f t="shared" si="2"/>
        <v/>
      </c>
      <c r="G9" s="1" t="s">
        <v>83</v>
      </c>
      <c r="H9" s="4">
        <v>2.6</v>
      </c>
      <c r="I9" s="1" t="s">
        <v>83</v>
      </c>
      <c r="J9" s="4">
        <v>2.7</v>
      </c>
      <c r="K9" s="1"/>
      <c r="L9" s="4"/>
      <c r="M9" s="1">
        <v>4</v>
      </c>
      <c r="N9" s="4">
        <v>2.9</v>
      </c>
    </row>
    <row r="10" spans="1:14" x14ac:dyDescent="0.25">
      <c r="B10" s="3" t="e">
        <f t="shared" si="0"/>
        <v>#N/A</v>
      </c>
      <c r="C10" s="3" t="e">
        <f t="shared" si="1"/>
        <v>#N/A</v>
      </c>
      <c r="D10" s="3" t="str">
        <f>IFERROR(IF(B10&lt;&gt;"",COUNTIF('Coach Card'!$FN$19:$FN$68,_xlfn.NUMBERVALUE(LEFT(B10,1))),""),"")</f>
        <v/>
      </c>
      <c r="E10" s="3" t="str">
        <f t="shared" si="2"/>
        <v/>
      </c>
      <c r="G10" s="1" t="s">
        <v>84</v>
      </c>
      <c r="H10" s="4">
        <v>2.4</v>
      </c>
      <c r="I10" s="1" t="s">
        <v>84</v>
      </c>
      <c r="J10" s="4">
        <v>2.2999999999999998</v>
      </c>
      <c r="K10" s="1"/>
      <c r="L10" s="4"/>
      <c r="M10" s="1" t="s">
        <v>84</v>
      </c>
      <c r="N10" s="4">
        <v>2.4</v>
      </c>
    </row>
    <row r="11" spans="1:14" x14ac:dyDescent="0.25">
      <c r="B11" s="3" t="e">
        <f t="shared" si="0"/>
        <v>#N/A</v>
      </c>
      <c r="C11" s="3" t="e">
        <f t="shared" si="1"/>
        <v>#N/A</v>
      </c>
      <c r="D11" s="3" t="str">
        <f>IFERROR(IF(B11&lt;&gt;"",COUNTIF('Coach Card'!$FN$19:$FN$68,_xlfn.NUMBERVALUE(LEFT(B11,1))),""),"")</f>
        <v/>
      </c>
      <c r="E11" s="3" t="str">
        <f t="shared" si="2"/>
        <v/>
      </c>
      <c r="G11" s="1" t="s">
        <v>85</v>
      </c>
      <c r="H11" s="4">
        <v>2.1</v>
      </c>
      <c r="I11" s="1" t="s">
        <v>85</v>
      </c>
      <c r="J11" s="4">
        <v>2.1</v>
      </c>
      <c r="K11" s="1"/>
      <c r="L11" s="4"/>
      <c r="M11" s="1" t="s">
        <v>85</v>
      </c>
      <c r="N11" s="4">
        <v>2.1</v>
      </c>
    </row>
    <row r="12" spans="1:14" x14ac:dyDescent="0.25">
      <c r="B12" s="3" t="e">
        <f t="shared" si="0"/>
        <v>#N/A</v>
      </c>
      <c r="C12" s="3" t="e">
        <f t="shared" si="1"/>
        <v>#N/A</v>
      </c>
      <c r="D12" s="3" t="str">
        <f>IFERROR(IF(B12&lt;&gt;"",COUNTIF('Coach Card'!$FN$19:$FN$68,_xlfn.NUMBERVALUE(LEFT(B12,1))),""),"")</f>
        <v/>
      </c>
      <c r="E12" s="3" t="str">
        <f t="shared" si="2"/>
        <v/>
      </c>
      <c r="G12" s="1"/>
      <c r="H12" s="1"/>
      <c r="K12" s="1"/>
      <c r="L12" s="1"/>
      <c r="M12" s="1"/>
      <c r="N12" s="1"/>
    </row>
    <row r="13" spans="1:14" x14ac:dyDescent="0.25">
      <c r="B13" s="3" t="e">
        <f t="shared" si="0"/>
        <v>#N/A</v>
      </c>
      <c r="C13" s="3" t="e">
        <f t="shared" si="1"/>
        <v>#N/A</v>
      </c>
      <c r="D13" s="3" t="str">
        <f>IFERROR(IF(B13&lt;&gt;"",COUNTIF('Coach Card'!$FN$19:$FN$68,_xlfn.NUMBERVALUE(LEFT(B13,1))),""),"")</f>
        <v/>
      </c>
      <c r="E13" s="3" t="str">
        <f t="shared" si="2"/>
        <v/>
      </c>
    </row>
  </sheetData>
  <mergeCells count="6">
    <mergeCell ref="M1:N1"/>
    <mergeCell ref="B1:C1"/>
    <mergeCell ref="D1:E1"/>
    <mergeCell ref="G1:H1"/>
    <mergeCell ref="I1:J1"/>
    <mergeCell ref="K1:L1"/>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7</vt:i4>
      </vt:variant>
      <vt:variant>
        <vt:lpstr>Benoemde bereiken</vt:lpstr>
      </vt:variant>
      <vt:variant>
        <vt:i4>97</vt:i4>
      </vt:variant>
    </vt:vector>
  </HeadingPairs>
  <TitlesOfParts>
    <vt:vector size="104" baseType="lpstr">
      <vt:lpstr>Instructions</vt:lpstr>
      <vt:lpstr>Coach Card</vt:lpstr>
      <vt:lpstr>Print</vt:lpstr>
      <vt:lpstr>Data</vt:lpstr>
      <vt:lpstr>AcroDD</vt:lpstr>
      <vt:lpstr>HybridDD</vt:lpstr>
      <vt:lpstr>TREDD</vt:lpstr>
      <vt:lpstr>AcroBonus_A_Code</vt:lpstr>
      <vt:lpstr>AcroBonus_A_Value</vt:lpstr>
      <vt:lpstr>AcroBonus_B_Code</vt:lpstr>
      <vt:lpstr>AcroBonus_B_Value</vt:lpstr>
      <vt:lpstr>AcroBonus_C_Code</vt:lpstr>
      <vt:lpstr>AcroBonus_C_Value</vt:lpstr>
      <vt:lpstr>AcroBonus_P_Code</vt:lpstr>
      <vt:lpstr>AcroBonus_P_Value</vt:lpstr>
      <vt:lpstr>AcroPair_Code</vt:lpstr>
      <vt:lpstr>AcroPair_Value</vt:lpstr>
      <vt:lpstr>'Coach Card'!Afdrukbereik</vt:lpstr>
      <vt:lpstr>Print!Afdrukbereik</vt:lpstr>
      <vt:lpstr>Cons_A_Code</vt:lpstr>
      <vt:lpstr>Cons_A_Value</vt:lpstr>
      <vt:lpstr>Cons_B_Code</vt:lpstr>
      <vt:lpstr>Cons_B_Value</vt:lpstr>
      <vt:lpstr>Cons_C_Code</vt:lpstr>
      <vt:lpstr>Cons_C_Value</vt:lpstr>
      <vt:lpstr>Cons_P_Code</vt:lpstr>
      <vt:lpstr>Cons_P_Value</vt:lpstr>
      <vt:lpstr>Conx_A_Code</vt:lpstr>
      <vt:lpstr>Conx_A_Value</vt:lpstr>
      <vt:lpstr>Conx_B_Code</vt:lpstr>
      <vt:lpstr>Conx_B_Value</vt:lpstr>
      <vt:lpstr>Conx_C_Code</vt:lpstr>
      <vt:lpstr>Conx_C_Value</vt:lpstr>
      <vt:lpstr>Conx_P_Code</vt:lpstr>
      <vt:lpstr>Conx_P_Value</vt:lpstr>
      <vt:lpstr>Dirx_A_Code</vt:lpstr>
      <vt:lpstr>Dirx_A_Value</vt:lpstr>
      <vt:lpstr>Dirx_B_Code</vt:lpstr>
      <vt:lpstr>Dirx_B_Value</vt:lpstr>
      <vt:lpstr>Dirx_C_Code</vt:lpstr>
      <vt:lpstr>Dirx_C_Value</vt:lpstr>
      <vt:lpstr>Dirx_P_Code</vt:lpstr>
      <vt:lpstr>Dirx_P_Value</vt:lpstr>
      <vt:lpstr>Hybrid_Mix_Req</vt:lpstr>
      <vt:lpstr>HybridBonus_Code</vt:lpstr>
      <vt:lpstr>HybridBonus_Value</vt:lpstr>
      <vt:lpstr>HybridDD_Code</vt:lpstr>
      <vt:lpstr>HybridDD_Value</vt:lpstr>
      <vt:lpstr>Parts_Active</vt:lpstr>
      <vt:lpstr>Pos1_A_Code</vt:lpstr>
      <vt:lpstr>Pos1_A_Value</vt:lpstr>
      <vt:lpstr>Pos1_A_Var</vt:lpstr>
      <vt:lpstr>Pos1_B_Code</vt:lpstr>
      <vt:lpstr>Pos1_B_Value</vt:lpstr>
      <vt:lpstr>Pos1_B_Var</vt:lpstr>
      <vt:lpstr>Pos1_C_Code</vt:lpstr>
      <vt:lpstr>Pos1_C_Value</vt:lpstr>
      <vt:lpstr>Pos1_C_Var</vt:lpstr>
      <vt:lpstr>Pos1_P_Code</vt:lpstr>
      <vt:lpstr>Pos1_P_Value</vt:lpstr>
      <vt:lpstr>Pos1_P_Var</vt:lpstr>
      <vt:lpstr>Pos2_A_Code</vt:lpstr>
      <vt:lpstr>Pos2_A_Value</vt:lpstr>
      <vt:lpstr>Pos2_A_Var</vt:lpstr>
      <vt:lpstr>Pos2_B_Code</vt:lpstr>
      <vt:lpstr>Pos2_B_Value</vt:lpstr>
      <vt:lpstr>Pos2_B_Var</vt:lpstr>
      <vt:lpstr>Pos2_C_Code</vt:lpstr>
      <vt:lpstr>Pos2_C_Value</vt:lpstr>
      <vt:lpstr>Pos2_C_Var</vt:lpstr>
      <vt:lpstr>Pos2_P_Code</vt:lpstr>
      <vt:lpstr>Pos2_P_Value</vt:lpstr>
      <vt:lpstr>Pos2_P_Var</vt:lpstr>
      <vt:lpstr>Requ_App</vt:lpstr>
      <vt:lpstr>Requ_Code</vt:lpstr>
      <vt:lpstr>Requ_Min</vt:lpstr>
      <vt:lpstr>RotB_A_Code</vt:lpstr>
      <vt:lpstr>RotB_A_Value</vt:lpstr>
      <vt:lpstr>RotB_B_Code</vt:lpstr>
      <vt:lpstr>RotB_B_Value</vt:lpstr>
      <vt:lpstr>RotB_C_Code</vt:lpstr>
      <vt:lpstr>RotB_C_Value</vt:lpstr>
      <vt:lpstr>RotB_P_Code</vt:lpstr>
      <vt:lpstr>RotB_P_Value</vt:lpstr>
      <vt:lpstr>RotP_A_Code</vt:lpstr>
      <vt:lpstr>RotP_A_Value</vt:lpstr>
      <vt:lpstr>RotP_B_Code</vt:lpstr>
      <vt:lpstr>RotP_B_Value</vt:lpstr>
      <vt:lpstr>RotP_C_Code</vt:lpstr>
      <vt:lpstr>RotP_C_Value</vt:lpstr>
      <vt:lpstr>RotP_P_Code</vt:lpstr>
      <vt:lpstr>RotP_P_Value</vt:lpstr>
      <vt:lpstr>TeamAcro_A_Pos1</vt:lpstr>
      <vt:lpstr>TeamAcro_A_Pos2</vt:lpstr>
      <vt:lpstr>TeamAcro_B_Cons</vt:lpstr>
      <vt:lpstr>TeamAcro_B_Conx</vt:lpstr>
      <vt:lpstr>TeamAcro_C_Cons</vt:lpstr>
      <vt:lpstr>TeamAcro_P_Cons</vt:lpstr>
      <vt:lpstr>TeamAcro_P_Conx</vt:lpstr>
      <vt:lpstr>TeamAcro_P_Pos1</vt:lpstr>
      <vt:lpstr>TeamAcro_P_Pos2</vt:lpstr>
      <vt:lpstr>TRE_check</vt:lpstr>
      <vt:lpstr>TreDD_Code</vt:lpstr>
      <vt:lpstr>TreDD_Value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Thomas Röhss</dc:creator>
  <cp:lastModifiedBy>Kees Bastiaansen</cp:lastModifiedBy>
  <cp:lastPrinted>2024-10-16T14:09:49Z</cp:lastPrinted>
  <dcterms:created xsi:type="dcterms:W3CDTF">2022-07-23T14:14:56Z</dcterms:created>
  <dcterms:modified xsi:type="dcterms:W3CDTF">2024-11-12T22:14:53Z</dcterms:modified>
</cp:coreProperties>
</file>